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4971317C-BB07-43FE-A92F-A93A44B97D9A}" xr6:coauthVersionLast="36" xr6:coauthVersionMax="36" xr10:uidLastSave="{00000000-0000-0000-0000-000000000000}"/>
  <bookViews>
    <workbookView xWindow="0" yWindow="0" windowWidth="21810" windowHeight="9900" activeTab="1" xr2:uid="{00000000-000D-0000-FFFF-FFFF00000000}"/>
  </bookViews>
  <sheets>
    <sheet name="اطلاعات پایه" sheetId="1" r:id="rId1"/>
    <sheet name="محاسبات" sheetId="2" r:id="rId2"/>
    <sheet name="اطلاعات قانونی " sheetId="3" r:id="rId3"/>
    <sheet name="فیش حقوقی" sheetId="5" r:id="rId4"/>
    <sheet name="مالیات حقوق" sheetId="6" r:id="rId5"/>
    <sheet name="پایه سنوات" sheetId="8" r:id="rId6"/>
  </sheets>
  <definedNames>
    <definedName name="اضافه_کار" localSheetId="2">'اطلاعات قانونی '!$F$9</definedName>
    <definedName name="اضافه_کار">'اطلاعات پایه'!$N$2:$N$3</definedName>
    <definedName name="اطلاعات_قانونی">'اطلاعات قانونی '!$F$2</definedName>
    <definedName name="بازخرید_مرخصی">'اطلاعات قانونی '!$F$21</definedName>
    <definedName name="بن_خوار_و_بار">'اطلاعات قانونی '!$F$6</definedName>
    <definedName name="بیمه_تامین_اجتماعی">'اطلاعات قانونی '!$F$28</definedName>
    <definedName name="پایه_سنوات">'اطلاعات قانونی '!$F$25</definedName>
    <definedName name="تعداد_فرزند">'اطلاعات پایه'!$G$2:$G$3</definedName>
    <definedName name="تعطیل_کاری">'اطلاعات قانونی '!$F$11</definedName>
    <definedName name="جمعه_کاری" localSheetId="2">'اطلاعات قانونی '!$F$10</definedName>
    <definedName name="جمعه_کاری">'اطلاعات پایه'!$P$2:$P$3</definedName>
    <definedName name="حداقل_عیدی">'اطلاعات قانونی '!$F$14</definedName>
    <definedName name="حداقل_عیدی_ماهانه">'اطلاعات قانونی '!$F$16</definedName>
    <definedName name="حداکثر_عیدی">'اطلاعات قانونی '!$F$15</definedName>
    <definedName name="حداکثر_عیدی_ماهانه">'اطلاعات قانونی '!$F$17</definedName>
    <definedName name="حق_اولاد___یک_فرزند">'اطلاعات قانونی '!$F$7</definedName>
    <definedName name="حق_تاهل">'اطلاعات قانونی '!$F$8</definedName>
    <definedName name="حق_مسکن">'اطلاعات قانونی '!$F$5</definedName>
    <definedName name="حقوق__30_روز">'اطلاعات قانونی '!$F$4</definedName>
    <definedName name="ذخیره_مرخصی">'اطلاعات قانونی '!$F$20</definedName>
    <definedName name="روز_کارکرد">'اطلاعات پایه'!$K$2:$K$3</definedName>
    <definedName name="روز_ماه">'اطلاعات پایه'!$L$2:$L$3</definedName>
    <definedName name="ساعت_موظفی">'اطلاعات قانونی '!$F$27</definedName>
    <definedName name="سختی_کار">'اطلاعات قانونی '!$F$23</definedName>
    <definedName name="سمت">'اطلاعات پایه'!$I$2:$I$3</definedName>
    <definedName name="سنوات___مزایای_پایان_خدمت">'اطلاعات قانونی '!$F$24</definedName>
    <definedName name="شب_کاری">'اطلاعات قانونی '!$F$12</definedName>
    <definedName name="شماره_بیمه">'اطلاعات پایه'!$D$2:$D$3</definedName>
    <definedName name="شیفت_کاری">'اطلاعات قانونی '!$F$22</definedName>
    <definedName name="کد_پرسنلی">'اطلاعات پایه'!$A$2:$A$3</definedName>
    <definedName name="کد_ملی">'اطلاعات پایه'!$C$2:$C$3</definedName>
    <definedName name="ماموریت" localSheetId="2">'اطلاعات قانونی '!$F$26</definedName>
    <definedName name="ماموریت">'اطلاعات پایه'!$O$2:$O$3</definedName>
    <definedName name="مانده_مرخصی">'اطلاعات پایه'!$Q$2:$Q$3</definedName>
    <definedName name="محل_تولد">'اطلاعات پایه'!$F$2:$F$3</definedName>
    <definedName name="مرخصی_استحقاقی">'اطلاعات قانونی '!$F$18</definedName>
    <definedName name="مرخصی_استعلاجی">'اطلاعات قانونی '!$F$19</definedName>
    <definedName name="مرکز_هزینه">'اطلاعات پایه'!$J$2:$J$3</definedName>
    <definedName name="مزد_ثابت___مزد_مبنا">'اطلاعات قانونی '!$F$29</definedName>
    <definedName name="مزد_روزانه" localSheetId="2">'اطلاعات قانونی '!$F$3</definedName>
    <definedName name="مزد_روزانه">'اطلاعات پایه'!$M$2:$M$3</definedName>
    <definedName name="نام_پدر">'اطلاعات پایه'!$E$2:$E$3</definedName>
    <definedName name="نام_ونام_خانوادگی">'اطلاعات پایه'!$B$2:$B$3</definedName>
    <definedName name="نوبت_کاری">'اطلاعات قانونی '!$F$13</definedName>
    <definedName name="وضعیت_تاهل">'اطلاعات پایه'!$H$2:$H$3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5" l="1"/>
  <c r="I6" i="5"/>
  <c r="I4" i="5"/>
  <c r="G14" i="5"/>
  <c r="G13" i="5"/>
  <c r="G12" i="5"/>
  <c r="G11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H21" i="3"/>
  <c r="H22" i="3" s="1"/>
  <c r="H20" i="3"/>
  <c r="K5" i="2"/>
  <c r="M5" i="2" s="1"/>
  <c r="J6" i="2"/>
  <c r="J5" i="2"/>
  <c r="K6" i="2"/>
  <c r="M6" i="2" s="1"/>
  <c r="F15" i="3"/>
  <c r="F17" i="3" s="1"/>
  <c r="F14" i="3"/>
  <c r="F16" i="3" s="1"/>
  <c r="F7" i="3"/>
  <c r="F4" i="3"/>
  <c r="C6" i="2"/>
  <c r="C5" i="2"/>
  <c r="G4" i="5" l="1"/>
  <c r="I6" i="2"/>
  <c r="P6" i="2" s="1"/>
  <c r="I5" i="2"/>
  <c r="D5" i="2"/>
  <c r="O5" i="2" s="1"/>
  <c r="H6" i="2"/>
  <c r="H5" i="2"/>
  <c r="E6" i="2"/>
  <c r="R6" i="2" s="1"/>
  <c r="E5" i="2"/>
  <c r="R5" i="2" s="1"/>
  <c r="G10" i="5" s="1"/>
  <c r="G6" i="2"/>
  <c r="G5" i="2"/>
  <c r="F6" i="2"/>
  <c r="F5" i="2"/>
  <c r="D6" i="2"/>
  <c r="N6" i="2" s="1"/>
  <c r="B6" i="2"/>
  <c r="B5" i="2"/>
  <c r="F18" i="6"/>
  <c r="K17" i="6"/>
  <c r="L17" i="6" s="1"/>
  <c r="F17" i="6"/>
  <c r="H17" i="6" s="1"/>
  <c r="F15" i="6"/>
  <c r="H15" i="6" s="1"/>
  <c r="F16" i="6"/>
  <c r="F14" i="6"/>
  <c r="H14" i="6" s="1"/>
  <c r="I17" i="6"/>
  <c r="I16" i="6"/>
  <c r="H16" i="6"/>
  <c r="I15" i="6"/>
  <c r="I14" i="6"/>
  <c r="I13" i="6"/>
  <c r="K13" i="6" s="1"/>
  <c r="L13" i="6" s="1"/>
  <c r="H13" i="6"/>
  <c r="H6" i="6"/>
  <c r="I6" i="6"/>
  <c r="H7" i="6"/>
  <c r="I7" i="6"/>
  <c r="K7" i="6" s="1"/>
  <c r="L7" i="6" s="1"/>
  <c r="H8" i="6"/>
  <c r="I8" i="6"/>
  <c r="K8" i="6" s="1"/>
  <c r="L8" i="6" s="1"/>
  <c r="H9" i="6"/>
  <c r="I9" i="6"/>
  <c r="H5" i="6"/>
  <c r="I5" i="6"/>
  <c r="G15" i="3"/>
  <c r="G14" i="3"/>
  <c r="K5" i="6" l="1"/>
  <c r="L5" i="6" s="1"/>
  <c r="K6" i="6"/>
  <c r="L6" i="6" s="1"/>
  <c r="M6" i="6" s="1"/>
  <c r="X6" i="2"/>
  <c r="Q6" i="2"/>
  <c r="N5" i="2"/>
  <c r="G6" i="5" s="1"/>
  <c r="W5" i="2"/>
  <c r="W6" i="2"/>
  <c r="X5" i="2"/>
  <c r="Q5" i="2"/>
  <c r="G9" i="5" s="1"/>
  <c r="M7" i="6"/>
  <c r="M8" i="6" s="1"/>
  <c r="P5" i="2"/>
  <c r="G8" i="5" s="1"/>
  <c r="L6" i="2"/>
  <c r="O6" i="2"/>
  <c r="G7" i="5" s="1"/>
  <c r="K15" i="6"/>
  <c r="L15" i="6" s="1"/>
  <c r="K16" i="6"/>
  <c r="L16" i="6" s="1"/>
  <c r="K14" i="6"/>
  <c r="L14" i="6" s="1"/>
  <c r="M14" i="6" s="1"/>
  <c r="G4" i="3"/>
  <c r="G7" i="3"/>
  <c r="G15" i="5" l="1"/>
  <c r="G16" i="5"/>
  <c r="AC6" i="2"/>
  <c r="Z6" i="2"/>
  <c r="Y6" i="2"/>
  <c r="AE6" i="2" s="1"/>
  <c r="AH6" i="2" s="1"/>
  <c r="M15" i="6"/>
  <c r="M16" i="6" s="1"/>
  <c r="M17" i="6" s="1"/>
  <c r="L5" i="2"/>
  <c r="AC5" i="2" l="1"/>
  <c r="G17" i="5" s="1"/>
  <c r="G5" i="5"/>
  <c r="AI6" i="2"/>
  <c r="AB6" i="2"/>
  <c r="AA6" i="2"/>
  <c r="Y5" i="2"/>
  <c r="AE5" i="2" s="1"/>
  <c r="Z5" i="2"/>
  <c r="AH5" i="2" l="1"/>
  <c r="I5" i="5"/>
  <c r="AB5" i="2"/>
  <c r="AA5" i="2"/>
  <c r="AI5" i="2" l="1"/>
  <c r="I9" i="5" s="1"/>
  <c r="I8" i="5"/>
  <c r="I12" i="5"/>
  <c r="I11" i="5"/>
  <c r="I10" i="5"/>
</calcChain>
</file>

<file path=xl/sharedStrings.xml><?xml version="1.0" encoding="utf-8"?>
<sst xmlns="http://schemas.openxmlformats.org/spreadsheetml/2006/main" count="206" uniqueCount="150">
  <si>
    <t xml:space="preserve">کد پرسنلی </t>
  </si>
  <si>
    <t xml:space="preserve">نام ونام خانوادگی </t>
  </si>
  <si>
    <t xml:space="preserve">کد ملی </t>
  </si>
  <si>
    <t xml:space="preserve">شماره بیمه </t>
  </si>
  <si>
    <t xml:space="preserve">نام پدر </t>
  </si>
  <si>
    <t xml:space="preserve">محل تولد </t>
  </si>
  <si>
    <t>تعداد فرزند</t>
  </si>
  <si>
    <t>سمت</t>
  </si>
  <si>
    <t>مرکز هزینه</t>
  </si>
  <si>
    <t>روز کارکرد</t>
  </si>
  <si>
    <t>مزد روزانه</t>
  </si>
  <si>
    <t xml:space="preserve">علی محمدی </t>
  </si>
  <si>
    <t>زهرا کریمی</t>
  </si>
  <si>
    <t xml:space="preserve">علی </t>
  </si>
  <si>
    <t>حسن</t>
  </si>
  <si>
    <t>تهران</t>
  </si>
  <si>
    <t>وضعیت تاهل</t>
  </si>
  <si>
    <t xml:space="preserve">نام و نام خانوادگی </t>
  </si>
  <si>
    <t xml:space="preserve">مزد روزانه </t>
  </si>
  <si>
    <t>حقوق ماهانه</t>
  </si>
  <si>
    <t xml:space="preserve">اطلاعات قانونی </t>
  </si>
  <si>
    <t xml:space="preserve">شورای عالی کار </t>
  </si>
  <si>
    <t xml:space="preserve">حق مسکن </t>
  </si>
  <si>
    <t xml:space="preserve">مصوبه وزیران </t>
  </si>
  <si>
    <t xml:space="preserve">بن خوار و بار </t>
  </si>
  <si>
    <t xml:space="preserve">کمک هزینه اقلام مصرفی خانوار شواری عالی کار </t>
  </si>
  <si>
    <t xml:space="preserve">ماده 86 قانون تامین اجتماعی </t>
  </si>
  <si>
    <t>حق اولاد - یک فرزند</t>
  </si>
  <si>
    <t>زیر 18 سال</t>
  </si>
  <si>
    <t xml:space="preserve">مذکر تا 26 سال به شرط تحصیل </t>
  </si>
  <si>
    <t>مونث تا ازدواج به شرط تحصیل</t>
  </si>
  <si>
    <t xml:space="preserve">اضافه کار </t>
  </si>
  <si>
    <t xml:space="preserve">ماده 59 قانون کار </t>
  </si>
  <si>
    <t xml:space="preserve">موافقت کارگر </t>
  </si>
  <si>
    <t xml:space="preserve">بیشتر از 4 ساعت نباشد </t>
  </si>
  <si>
    <t>شب کاری</t>
  </si>
  <si>
    <t xml:space="preserve">عصر ( 14 تا 22) </t>
  </si>
  <si>
    <t>شب (22-6)</t>
  </si>
  <si>
    <t>ماده واحده مصوب 1370</t>
  </si>
  <si>
    <t xml:space="preserve">60 روز آخرین مزد دریافتی </t>
  </si>
  <si>
    <t xml:space="preserve">مرخصی استحقاقی </t>
  </si>
  <si>
    <t>نوبت کاری</t>
  </si>
  <si>
    <t>حقوق -30 روز</t>
  </si>
  <si>
    <t xml:space="preserve">ماده 36 قانون کار </t>
  </si>
  <si>
    <t>حقوق = مزد * 30</t>
  </si>
  <si>
    <t xml:space="preserve">مرخصی استعلاجی </t>
  </si>
  <si>
    <t>شیفت کاری</t>
  </si>
  <si>
    <t>سختی کار</t>
  </si>
  <si>
    <t>اضافه کاری</t>
  </si>
  <si>
    <t xml:space="preserve">سنوات - مزایای پایان خدمت </t>
  </si>
  <si>
    <t>پایه سنوات</t>
  </si>
  <si>
    <t>ماموریت</t>
  </si>
  <si>
    <t xml:space="preserve">جمعه کاری </t>
  </si>
  <si>
    <t>جمعه کاری</t>
  </si>
  <si>
    <t xml:space="preserve">ساعت موظفی </t>
  </si>
  <si>
    <t>ساعت موظفی ماه - ساعت کارکرد = اضافه کاری</t>
  </si>
  <si>
    <t>شرکت بها حساب پویا</t>
  </si>
  <si>
    <t>بیمه تامین اجتماعی</t>
  </si>
  <si>
    <t xml:space="preserve">ماده 28 تامین اجتماعی </t>
  </si>
  <si>
    <t xml:space="preserve"> ماده 62 قانون کار</t>
  </si>
  <si>
    <t>ماده 46 قانون کار</t>
  </si>
  <si>
    <t xml:space="preserve">ماده 51 قانون کار 44 ساعت در هفته </t>
  </si>
  <si>
    <t xml:space="preserve">50 کیلومتر یا یک روز اقامت </t>
  </si>
  <si>
    <t xml:space="preserve">توافقی حداقل یک مزد یک روز </t>
  </si>
  <si>
    <t>ایاب و ذهاب بر عهده کارفرما</t>
  </si>
  <si>
    <t>مبنای محاسبه مزایا</t>
  </si>
  <si>
    <t xml:space="preserve">حقوق + مزایای به تبع شغل </t>
  </si>
  <si>
    <t xml:space="preserve">حق سرپرستی ، حق فنی ، حق جذب </t>
  </si>
  <si>
    <t>مانند ماموریت روزانه است</t>
  </si>
  <si>
    <t>جدا محاسبه میشود</t>
  </si>
  <si>
    <t xml:space="preserve">تعطیل کاری </t>
  </si>
  <si>
    <t xml:space="preserve">در قانون نداریم </t>
  </si>
  <si>
    <t xml:space="preserve">تبصره ماده 62 یک روز دیگر تعطیل هفتگی اعلام شود </t>
  </si>
  <si>
    <t>کار کردن در روز تعطیل هفتگی مانند جمعه کاری است</t>
  </si>
  <si>
    <t xml:space="preserve">صبح (6 تا 14) </t>
  </si>
  <si>
    <t>مزد ثابت - مزد مبنا</t>
  </si>
  <si>
    <t>% جمعه کاری40</t>
  </si>
  <si>
    <t>به کارگر نوبت کار شب کاری تعلق نمی گیرد</t>
  </si>
  <si>
    <t>جزو مزایای به تبع شغل</t>
  </si>
  <si>
    <t xml:space="preserve">روزانه محاسبه می شود </t>
  </si>
  <si>
    <t>ماموریت در روز جمعه ، جمعه کاری تعلق می گیرد</t>
  </si>
  <si>
    <t>26 روز با 4 روز جمعه</t>
  </si>
  <si>
    <t>با شمارش جمعه 30 روز ، ماهانه 2/5 روز</t>
  </si>
  <si>
    <t>ذخیره مرخصی</t>
  </si>
  <si>
    <t xml:space="preserve">بازخرید مرخصی </t>
  </si>
  <si>
    <t>قانون مدنی ماه 30 روز است</t>
  </si>
  <si>
    <t xml:space="preserve">بر اساس کارکرد ماهانه محاسبه می شود </t>
  </si>
  <si>
    <t xml:space="preserve">متاهل و مجرد تفاوتی ندارد </t>
  </si>
  <si>
    <t>ماه 29 ، 30 یا 31 ثابت است</t>
  </si>
  <si>
    <t>صبح - عصر 10% ، صبح - عصر و شبت 15%</t>
  </si>
  <si>
    <t>جدول مالیات حقوق 1403</t>
  </si>
  <si>
    <t>سالانه</t>
  </si>
  <si>
    <t>ماهانه</t>
  </si>
  <si>
    <t>نرخ</t>
  </si>
  <si>
    <t>اختلاف</t>
  </si>
  <si>
    <t>مالیات</t>
  </si>
  <si>
    <t>مالیات تجمیعی</t>
  </si>
  <si>
    <t>جدول مالیات حقوق 1404</t>
  </si>
  <si>
    <t xml:space="preserve">لیست حقوق و دستمزد </t>
  </si>
  <si>
    <t>ماه</t>
  </si>
  <si>
    <t>سال</t>
  </si>
  <si>
    <t>حق مسکن</t>
  </si>
  <si>
    <t xml:space="preserve">حق بن خوار و بار </t>
  </si>
  <si>
    <t>حق اولاد</t>
  </si>
  <si>
    <t>حق تاهل</t>
  </si>
  <si>
    <t>عیدی</t>
  </si>
  <si>
    <t>سنوات</t>
  </si>
  <si>
    <t>حقوق ناخالص</t>
  </si>
  <si>
    <t>اطلاعات پایه</t>
  </si>
  <si>
    <t>حقوق پایه</t>
  </si>
  <si>
    <t>مزایا</t>
  </si>
  <si>
    <t>کسور</t>
  </si>
  <si>
    <t>مشمول بیمه</t>
  </si>
  <si>
    <t>مشول مالیات</t>
  </si>
  <si>
    <t>مساعده</t>
  </si>
  <si>
    <t>بیمه سهم کارمند</t>
  </si>
  <si>
    <t>بیمه سهم کارفرما</t>
  </si>
  <si>
    <t>کسری کار</t>
  </si>
  <si>
    <t>مالیات حقوق</t>
  </si>
  <si>
    <t>حقوق خالص</t>
  </si>
  <si>
    <t>مانده مرخصی</t>
  </si>
  <si>
    <t>متاهل</t>
  </si>
  <si>
    <t>مجرد</t>
  </si>
  <si>
    <t>حسابدار</t>
  </si>
  <si>
    <t>کارشناس فروش</t>
  </si>
  <si>
    <t>اداری</t>
  </si>
  <si>
    <t>اضافه کار</t>
  </si>
  <si>
    <t>روز ماه</t>
  </si>
  <si>
    <t>به مرد و زن متاهل پرداخت می گردد</t>
  </si>
  <si>
    <t>به متاهلین سابق پرداخت نمی گردد</t>
  </si>
  <si>
    <t>تاهل</t>
  </si>
  <si>
    <t>اولاد</t>
  </si>
  <si>
    <t>فیش حقوقی</t>
  </si>
  <si>
    <t>بها حساب پویا</t>
  </si>
  <si>
    <t>اینجانب .................. کلیه اقلام مندرج در فیش حقوقی را با دقت بررسی کرده و تایید نمی نمایم.</t>
  </si>
  <si>
    <t>پایه سنواتی تجمیعی - ریال</t>
  </si>
  <si>
    <t>تعداد سال سابقه</t>
  </si>
  <si>
    <t>مهر</t>
  </si>
  <si>
    <t>حق بن</t>
  </si>
  <si>
    <t>حداقل عیدی سالانه</t>
  </si>
  <si>
    <t>حداکثر عیدی سالانه</t>
  </si>
  <si>
    <t>حداقل عیدی ماهانه</t>
  </si>
  <si>
    <t>حداکثر عیدی ماهانه</t>
  </si>
  <si>
    <t>مزد ثابت</t>
  </si>
  <si>
    <t>بیمه بیکاری</t>
  </si>
  <si>
    <t>جمع کسور</t>
  </si>
  <si>
    <t xml:space="preserve">خالص حقوق </t>
  </si>
  <si>
    <t>مهر و امضا</t>
  </si>
  <si>
    <t>ماموریت2</t>
  </si>
  <si>
    <t>شماره بیمه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</si>
</sst>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sz val="11"/>
      <color theme="1"/>
      <name val="B Titr"/>
      <charset val="178"/>
    </font>
    <font>
      <b/>
      <sz val="11"/>
      <color rgb="FFFFFFFF"/>
      <name val="B Nazanin"/>
      <charset val="178"/>
    </font>
    <font>
      <sz val="11"/>
      <color rgb="FF212529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43A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454D55"/>
      </left>
      <right style="medium">
        <color rgb="FF454D55"/>
      </right>
      <top style="medium">
        <color rgb="FF454D55"/>
      </top>
      <bottom style="thick">
        <color rgb="FF454D55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2" fillId="0" borderId="0" xfId="1" applyNumberFormat="1" applyFont="1"/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165" fontId="3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2" xfId="0" applyFont="1" applyBorder="1"/>
    <xf numFmtId="165" fontId="2" fillId="0" borderId="3" xfId="1" applyNumberFormat="1" applyFont="1" applyBorder="1"/>
    <xf numFmtId="0" fontId="2" fillId="0" borderId="4" xfId="0" applyFont="1" applyBorder="1"/>
    <xf numFmtId="165" fontId="2" fillId="0" borderId="5" xfId="1" applyNumberFormat="1" applyFont="1" applyBorder="1"/>
    <xf numFmtId="0" fontId="2" fillId="0" borderId="6" xfId="0" applyFont="1" applyBorder="1"/>
    <xf numFmtId="165" fontId="2" fillId="0" borderId="7" xfId="1" applyNumberFormat="1" applyFont="1" applyBorder="1"/>
    <xf numFmtId="165" fontId="2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5" fillId="3" borderId="8" xfId="1" applyNumberFormat="1" applyFont="1" applyFill="1" applyBorder="1" applyAlignment="1">
      <alignment horizontal="center" vertical="center" wrapText="1"/>
    </xf>
    <xf numFmtId="165" fontId="6" fillId="2" borderId="9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9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20" xfId="1" applyNumberFormat="1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165" fontId="8" fillId="0" borderId="14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5" formatCode="_ * #,##0_-_ر_ي_ا_ل_ ;_ * #,##0\-_ر_ي_ا_ل_ ;_ * &quot;-&quot;??_-_ر_ي_ا_ل_ ;_ @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3" totalsRowShown="0" headerRowDxfId="60" headerRowBorderDxfId="59" tableBorderDxfId="58" totalsRowBorderDxfId="57">
  <autoFilter ref="A1:Q3" xr:uid="{00000000-0009-0000-0100-000001000000}"/>
  <tableColumns count="17">
    <tableColumn id="1" xr3:uid="{00000000-0010-0000-0000-000001000000}" name="کد پرسنلی " dataDxfId="56"/>
    <tableColumn id="2" xr3:uid="{00000000-0010-0000-0000-000002000000}" name="نام ونام خانوادگی " dataDxfId="55"/>
    <tableColumn id="3" xr3:uid="{00000000-0010-0000-0000-000003000000}" name="کد ملی " dataDxfId="54"/>
    <tableColumn id="4" xr3:uid="{00000000-0010-0000-0000-000004000000}" name="شماره بیمه " dataDxfId="53"/>
    <tableColumn id="5" xr3:uid="{00000000-0010-0000-0000-000005000000}" name="نام پدر " dataDxfId="52"/>
    <tableColumn id="6" xr3:uid="{00000000-0010-0000-0000-000006000000}" name="محل تولد " dataDxfId="51"/>
    <tableColumn id="7" xr3:uid="{00000000-0010-0000-0000-000007000000}" name="تعداد فرزند" dataDxfId="50"/>
    <tableColumn id="8" xr3:uid="{00000000-0010-0000-0000-000008000000}" name="وضعیت تاهل" dataDxfId="49"/>
    <tableColumn id="9" xr3:uid="{00000000-0010-0000-0000-000009000000}" name="سمت" dataDxfId="48"/>
    <tableColumn id="10" xr3:uid="{00000000-0010-0000-0000-00000A000000}" name="مرکز هزینه" dataDxfId="47"/>
    <tableColumn id="11" xr3:uid="{00000000-0010-0000-0000-00000B000000}" name="روز کارکرد" dataDxfId="46"/>
    <tableColumn id="12" xr3:uid="{00000000-0010-0000-0000-00000C000000}" name="روز ماه" dataDxfId="45"/>
    <tableColumn id="13" xr3:uid="{00000000-0010-0000-0000-00000D000000}" name="مزد روزانه" dataDxfId="44" dataCellStyle="Comma"/>
    <tableColumn id="14" xr3:uid="{00000000-0010-0000-0000-00000E000000}" name="اضافه کار" dataDxfId="43" dataCellStyle="Comma"/>
    <tableColumn id="15" xr3:uid="{00000000-0010-0000-0000-00000F000000}" name="ماموریت" dataDxfId="42"/>
    <tableColumn id="16" xr3:uid="{00000000-0010-0000-0000-000010000000}" name="جمعه کاری " dataDxfId="41"/>
    <tableColumn id="17" xr3:uid="{00000000-0010-0000-0000-000011000000}" name="مانده مرخصی" dataDxfId="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AI6" totalsRowShown="0" headerRowDxfId="39" dataDxfId="37" headerRowBorderDxfId="38" tableBorderDxfId="36" totalsRowBorderDxfId="35" headerRowCellStyle="Comma" dataCellStyle="Comma">
  <autoFilter ref="A4:AI6" xr:uid="{00000000-0009-0000-0100-000002000000}"/>
  <tableColumns count="35">
    <tableColumn id="1" xr3:uid="{00000000-0010-0000-0100-000001000000}" name="کد پرسنلی " dataDxfId="34"/>
    <tableColumn id="2" xr3:uid="{00000000-0010-0000-0100-000002000000}" name="نام و نام خانوادگی " dataDxfId="33">
      <calculatedColumnFormula>LOOKUP(A5,کد_پرسنلی,نام_ونام_خانوادگی)</calculatedColumnFormula>
    </tableColumn>
    <tableColumn id="3" xr3:uid="{00000000-0010-0000-0100-000003000000}" name="روز ماه" dataDxfId="32">
      <calculatedColumnFormula>LOOKUP(A5,کد_پرسنلی,روز_ماه)</calculatedColumnFormula>
    </tableColumn>
    <tableColumn id="4" xr3:uid="{00000000-0010-0000-0100-000004000000}" name="روز کارکرد" dataDxfId="31">
      <calculatedColumnFormula>LOOKUP(A5,کد_پرسنلی,روز_کارکرد)</calculatedColumnFormula>
    </tableColumn>
    <tableColumn id="5" xr3:uid="{00000000-0010-0000-0100-000005000000}" name="اضافه کار" dataDxfId="30">
      <calculatedColumnFormula>LOOKUP(A5,کد_پرسنلی,اضافه_کار)</calculatedColumnFormula>
    </tableColumn>
    <tableColumn id="6" xr3:uid="{00000000-0010-0000-0100-000006000000}" name="ماموریت" dataDxfId="29">
      <calculatedColumnFormula>LOOKUP(A5,کد_پرسنلی,ماموریت)</calculatedColumnFormula>
    </tableColumn>
    <tableColumn id="7" xr3:uid="{00000000-0010-0000-0100-000007000000}" name="جمعه کاری" dataDxfId="28">
      <calculatedColumnFormula>LOOKUP(A5,کد_پرسنلی,جمعه_کاری)</calculatedColumnFormula>
    </tableColumn>
    <tableColumn id="8" xr3:uid="{00000000-0010-0000-0100-000008000000}" name="مانده مرخصی" dataDxfId="27">
      <calculatedColumnFormula>LOOKUP(A5,کد_پرسنلی,مانده_مرخصی)</calculatedColumnFormula>
    </tableColumn>
    <tableColumn id="9" xr3:uid="{00000000-0010-0000-0100-000009000000}" name="تاهل" dataDxfId="26">
      <calculatedColumnFormula>LOOKUP(A5,کد_پرسنلی,وضعیت_تاهل)</calculatedColumnFormula>
    </tableColumn>
    <tableColumn id="10" xr3:uid="{00000000-0010-0000-0100-00000A000000}" name="تعداد فرزند" dataDxfId="25">
      <calculatedColumnFormula>LOOKUP(A5,کد_پرسنلی,تعداد_فرزند)</calculatedColumnFormula>
    </tableColumn>
    <tableColumn id="11" xr3:uid="{00000000-0010-0000-0100-00000B000000}" name="مزد روزانه " dataDxfId="24" dataCellStyle="Comma">
      <calculatedColumnFormula>LOOKUP(A5,کد_پرسنلی,مزد_روزانه)</calculatedColumnFormula>
    </tableColumn>
    <tableColumn id="12" xr3:uid="{00000000-0010-0000-0100-00000C000000}" name="حقوق ماهانه" dataDxfId="23" dataCellStyle="Comma">
      <calculatedColumnFormula>K5*D5</calculatedColumnFormula>
    </tableColumn>
    <tableColumn id="13" xr3:uid="{00000000-0010-0000-0100-00000D000000}" name="مزد ثابت" dataDxfId="22" dataCellStyle="Comma">
      <calculatedColumnFormula>K5</calculatedColumnFormula>
    </tableColumn>
    <tableColumn id="14" xr3:uid="{00000000-0010-0000-0100-00000E000000}" name="حق مسکن" dataDxfId="21" dataCellStyle="Comma">
      <calculatedColumnFormula xml:space="preserve"> حق_مسکن/C5*D5</calculatedColumnFormula>
    </tableColumn>
    <tableColumn id="15" xr3:uid="{00000000-0010-0000-0100-00000F000000}" name="حق بن" dataDxfId="20" dataCellStyle="Comma">
      <calculatedColumnFormula>بن_خوار_و_بار/C5*D5</calculatedColumnFormula>
    </tableColumn>
    <tableColumn id="16" xr3:uid="{00000000-0010-0000-0100-000010000000}" name="حق تاهل" dataDxfId="19" dataCellStyle="Comma">
      <calculatedColumnFormula>IF(I5="متاهل",حق_تاهل,0)/C5*D5</calculatedColumnFormula>
    </tableColumn>
    <tableColumn id="17" xr3:uid="{00000000-0010-0000-0100-000011000000}" name="حق اولاد" dataDxfId="18" dataCellStyle="Comma">
      <calculatedColumnFormula>حق_اولاد___یک_فرزند*J5/C5*D5</calculatedColumnFormula>
    </tableColumn>
    <tableColumn id="18" xr3:uid="{00000000-0010-0000-0100-000012000000}" name="اضافه کاری" dataDxfId="17" dataCellStyle="Comma">
      <calculatedColumnFormula>M5/7.33*1.4*E5</calculatedColumnFormula>
    </tableColumn>
    <tableColumn id="19" xr3:uid="{00000000-0010-0000-0100-000013000000}" name="جمعه کاری " dataDxfId="16" dataCellStyle="Comma"/>
    <tableColumn id="20" xr3:uid="{00000000-0010-0000-0100-000014000000}" name="شب کاری" dataDxfId="15" dataCellStyle="Comma"/>
    <tableColumn id="21" xr3:uid="{00000000-0010-0000-0100-000015000000}" name="نوبت کاری" dataDxfId="14" dataCellStyle="Comma"/>
    <tableColumn id="22" xr3:uid="{00000000-0010-0000-0100-000016000000}" name="ماموریت2" dataDxfId="13" dataCellStyle="Comma"/>
    <tableColumn id="23" xr3:uid="{00000000-0010-0000-0100-000017000000}" name="عیدی" dataDxfId="12" dataCellStyle="Comma">
      <calculatedColumnFormula>IF((M5*60)/365*D5&gt;حداکثر_عیدی_ماهانه,حداکثر_عیدی_ماهانه,(M5*60)/365*D5)</calculatedColumnFormula>
    </tableColumn>
    <tableColumn id="24" xr3:uid="{00000000-0010-0000-0100-000018000000}" name="سنوات" dataDxfId="11" dataCellStyle="Comma">
      <calculatedColumnFormula>(M5*30)/365*D5</calculatedColumnFormula>
    </tableColumn>
    <tableColumn id="25" xr3:uid="{00000000-0010-0000-0100-000019000000}" name="مشمول بیمه" dataDxfId="10" dataCellStyle="Comma">
      <calculatedColumnFormula>L5+N5+O5+P5+R5+S5+T5+U5</calculatedColumnFormula>
    </tableColumn>
    <tableColumn id="26" xr3:uid="{00000000-0010-0000-0100-00001A000000}" name="مشول مالیات" dataDxfId="9" dataCellStyle="Comma">
      <calculatedColumnFormula>L5+R5+S5+T5+U5</calculatedColumnFormula>
    </tableColumn>
    <tableColumn id="27" xr3:uid="{00000000-0010-0000-0100-00001B000000}" name="بیمه سهم کارفرما" dataDxfId="8" dataCellStyle="Comma">
      <calculatedColumnFormula>Y5*20%</calculatedColumnFormula>
    </tableColumn>
    <tableColumn id="28" xr3:uid="{00000000-0010-0000-0100-00001C000000}" name="بیمه بیکاری" dataDxfId="7" dataCellStyle="Comma">
      <calculatedColumnFormula>Y5*3%</calculatedColumnFormula>
    </tableColumn>
    <tableColumn id="29" xr3:uid="{00000000-0010-0000-0100-00001D000000}" name="حقوق ناخالص" dataDxfId="6" dataCellStyle="Comma">
      <calculatedColumnFormula>L5+N5+O5+P5+Q5+R5+S5+T5+U5+V5+W5+X5</calculatedColumnFormula>
    </tableColumn>
    <tableColumn id="30" xr3:uid="{00000000-0010-0000-0100-00001E000000}" name="مساعده" dataDxfId="5" dataCellStyle="Comma"/>
    <tableColumn id="31" xr3:uid="{00000000-0010-0000-0100-00001F000000}" name="بیمه سهم کارمند" dataDxfId="4" dataCellStyle="Comma">
      <calculatedColumnFormula>Y5*7%</calculatedColumnFormula>
    </tableColumn>
    <tableColumn id="32" xr3:uid="{00000000-0010-0000-0100-000020000000}" name="مالیات حقوق" dataDxfId="3" dataCellStyle="Comma"/>
    <tableColumn id="33" xr3:uid="{00000000-0010-0000-0100-000021000000}" name="کسری کار" dataDxfId="2" dataCellStyle="Comma"/>
    <tableColumn id="34" xr3:uid="{00000000-0010-0000-0100-000022000000}" name="جمع کسور" dataDxfId="1" dataCellStyle="Comma">
      <calculatedColumnFormula>AG5+AF5+AE5+AD5</calculatedColumnFormula>
    </tableColumn>
    <tableColumn id="35" xr3:uid="{00000000-0010-0000-0100-000023000000}" name="حقوق خالص" dataDxfId="0" dataCellStyle="Comma">
      <calculatedColumnFormula>AC5-AH5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rightToLeft="1" zoomScale="130" zoomScaleNormal="130" workbookViewId="0">
      <selection activeCell="F11" sqref="F11"/>
    </sheetView>
  </sheetViews>
  <sheetFormatPr defaultColWidth="9" defaultRowHeight="18" x14ac:dyDescent="0.25"/>
  <cols>
    <col min="1" max="1" width="11.140625" style="2" customWidth="1"/>
    <col min="2" max="2" width="15.85546875" style="2" customWidth="1"/>
    <col min="3" max="3" width="11" style="2" bestFit="1" customWidth="1"/>
    <col min="4" max="4" width="11.140625" style="2" customWidth="1"/>
    <col min="5" max="5" width="9" style="2"/>
    <col min="6" max="6" width="10" style="2" customWidth="1"/>
    <col min="7" max="7" width="10.7109375" style="2" customWidth="1"/>
    <col min="8" max="8" width="11.7109375" style="2" customWidth="1"/>
    <col min="9" max="9" width="12" style="2" bestFit="1" customWidth="1"/>
    <col min="10" max="10" width="10.5703125" style="2" customWidth="1"/>
    <col min="11" max="11" width="10.28515625" style="2" customWidth="1"/>
    <col min="12" max="12" width="9" style="2"/>
    <col min="13" max="13" width="14.85546875" style="15" bestFit="1" customWidth="1"/>
    <col min="14" max="14" width="14.28515625" style="15" customWidth="1"/>
    <col min="15" max="15" width="9" style="2"/>
    <col min="16" max="16" width="11.42578125" style="2" customWidth="1"/>
    <col min="17" max="17" width="12.28515625" style="2" customWidth="1"/>
    <col min="18" max="16384" width="9" style="2"/>
  </cols>
  <sheetData>
    <row r="1" spans="1:17" x14ac:dyDescent="0.25">
      <c r="A1" s="31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16</v>
      </c>
      <c r="I1" s="32" t="s">
        <v>7</v>
      </c>
      <c r="J1" s="32" t="s">
        <v>8</v>
      </c>
      <c r="K1" s="32" t="s">
        <v>9</v>
      </c>
      <c r="L1" s="32" t="s">
        <v>127</v>
      </c>
      <c r="M1" s="33" t="s">
        <v>10</v>
      </c>
      <c r="N1" s="33" t="s">
        <v>126</v>
      </c>
      <c r="O1" s="32" t="s">
        <v>51</v>
      </c>
      <c r="P1" s="32" t="s">
        <v>52</v>
      </c>
      <c r="Q1" s="34" t="s">
        <v>120</v>
      </c>
    </row>
    <row r="2" spans="1:17" x14ac:dyDescent="0.25">
      <c r="A2" s="29">
        <v>1001</v>
      </c>
      <c r="B2" s="16" t="s">
        <v>11</v>
      </c>
      <c r="C2" s="16">
        <v>6550025453</v>
      </c>
      <c r="D2" s="16">
        <v>28356525</v>
      </c>
      <c r="E2" s="16" t="s">
        <v>13</v>
      </c>
      <c r="F2" s="16" t="s">
        <v>15</v>
      </c>
      <c r="G2" s="16">
        <v>2</v>
      </c>
      <c r="H2" s="16" t="s">
        <v>121</v>
      </c>
      <c r="I2" s="16" t="s">
        <v>123</v>
      </c>
      <c r="J2" s="16" t="s">
        <v>125</v>
      </c>
      <c r="K2" s="16">
        <v>30</v>
      </c>
      <c r="L2" s="16">
        <v>30</v>
      </c>
      <c r="M2" s="17">
        <v>3463655.6</v>
      </c>
      <c r="N2" s="17">
        <v>20</v>
      </c>
      <c r="O2" s="16">
        <v>1</v>
      </c>
      <c r="P2" s="16">
        <v>0</v>
      </c>
      <c r="Q2" s="30">
        <v>0</v>
      </c>
    </row>
    <row r="3" spans="1:17" x14ac:dyDescent="0.25">
      <c r="A3" s="35">
        <v>1002</v>
      </c>
      <c r="B3" s="36" t="s">
        <v>12</v>
      </c>
      <c r="C3" s="36">
        <v>5448800025</v>
      </c>
      <c r="D3" s="36">
        <v>20850044</v>
      </c>
      <c r="E3" s="36" t="s">
        <v>14</v>
      </c>
      <c r="F3" s="36"/>
      <c r="G3" s="36">
        <v>0</v>
      </c>
      <c r="H3" s="36" t="s">
        <v>122</v>
      </c>
      <c r="I3" s="36" t="s">
        <v>124</v>
      </c>
      <c r="J3" s="36" t="s">
        <v>125</v>
      </c>
      <c r="K3" s="36">
        <v>25</v>
      </c>
      <c r="L3" s="36">
        <v>30</v>
      </c>
      <c r="M3" s="37">
        <v>5000000</v>
      </c>
      <c r="N3" s="37">
        <v>11</v>
      </c>
      <c r="O3" s="36">
        <v>0</v>
      </c>
      <c r="P3" s="36">
        <v>2</v>
      </c>
      <c r="Q3" s="38"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"/>
  <sheetViews>
    <sheetView rightToLeft="1" tabSelected="1" topLeftCell="W1" zoomScale="130" zoomScaleNormal="130" workbookViewId="0">
      <selection activeCell="Z16" sqref="Z16"/>
    </sheetView>
  </sheetViews>
  <sheetFormatPr defaultColWidth="9" defaultRowHeight="18" x14ac:dyDescent="0.25"/>
  <cols>
    <col min="1" max="1" width="17.42578125" style="2" bestFit="1" customWidth="1"/>
    <col min="2" max="2" width="16.42578125" style="2" customWidth="1"/>
    <col min="3" max="3" width="7.42578125" style="2" customWidth="1"/>
    <col min="4" max="4" width="10.28515625" style="2" customWidth="1"/>
    <col min="5" max="5" width="9.28515625" style="2" customWidth="1"/>
    <col min="6" max="6" width="9" style="2"/>
    <col min="7" max="7" width="10.7109375" style="2" customWidth="1"/>
    <col min="8" max="8" width="12.28515625" style="2" customWidth="1"/>
    <col min="9" max="9" width="9" style="2"/>
    <col min="10" max="10" width="10.7109375" style="2" customWidth="1"/>
    <col min="11" max="11" width="14.85546875" style="15" bestFit="1" customWidth="1"/>
    <col min="12" max="12" width="17.42578125" style="15" bestFit="1" customWidth="1"/>
    <col min="13" max="13" width="13.85546875" style="15" bestFit="1" customWidth="1"/>
    <col min="14" max="15" width="14.85546875" style="15" bestFit="1" customWidth="1"/>
    <col min="16" max="16" width="13.85546875" style="15" bestFit="1" customWidth="1"/>
    <col min="17" max="17" width="14.85546875" style="15" bestFit="1" customWidth="1"/>
    <col min="18" max="18" width="16.28515625" style="15" customWidth="1"/>
    <col min="19" max="19" width="12.7109375" style="15" customWidth="1"/>
    <col min="20" max="20" width="10.85546875" style="15" customWidth="1"/>
    <col min="21" max="21" width="11.42578125" style="15" customWidth="1"/>
    <col min="22" max="22" width="10.7109375" style="15" customWidth="1"/>
    <col min="23" max="24" width="17.42578125" style="15" bestFit="1" customWidth="1"/>
    <col min="25" max="26" width="15.85546875" style="15" bestFit="1" customWidth="1"/>
    <col min="27" max="27" width="16.5703125" style="15" customWidth="1"/>
    <col min="28" max="28" width="14.28515625" style="15" customWidth="1"/>
    <col min="29" max="29" width="15.85546875" style="15" bestFit="1" customWidth="1"/>
    <col min="30" max="30" width="14.85546875" style="15" bestFit="1" customWidth="1"/>
    <col min="31" max="31" width="16.42578125" style="15" customWidth="1"/>
    <col min="32" max="32" width="13.140625" style="15" customWidth="1"/>
    <col min="33" max="33" width="11.140625" style="15" customWidth="1"/>
    <col min="34" max="34" width="14.85546875" style="15" bestFit="1" customWidth="1"/>
    <col min="35" max="35" width="15.85546875" style="15" bestFit="1" customWidth="1"/>
    <col min="36" max="16384" width="9" style="2"/>
  </cols>
  <sheetData>
    <row r="1" spans="1:35" x14ac:dyDescent="0.25">
      <c r="A1" s="2" t="s">
        <v>56</v>
      </c>
    </row>
    <row r="2" spans="1:35" x14ac:dyDescent="0.25">
      <c r="A2" s="2" t="s">
        <v>98</v>
      </c>
      <c r="J2" s="2" t="s">
        <v>99</v>
      </c>
      <c r="K2" s="15" t="s">
        <v>137</v>
      </c>
      <c r="L2" s="15" t="s">
        <v>100</v>
      </c>
      <c r="M2" s="15">
        <v>1404</v>
      </c>
    </row>
    <row r="3" spans="1:35" x14ac:dyDescent="0.25">
      <c r="A3" s="2" t="s">
        <v>108</v>
      </c>
      <c r="K3" s="15" t="s">
        <v>109</v>
      </c>
      <c r="N3" s="15" t="s">
        <v>110</v>
      </c>
      <c r="AD3" s="15" t="s">
        <v>111</v>
      </c>
    </row>
    <row r="4" spans="1:35" x14ac:dyDescent="0.25">
      <c r="A4" s="31" t="s">
        <v>0</v>
      </c>
      <c r="B4" s="32" t="s">
        <v>17</v>
      </c>
      <c r="C4" s="32" t="s">
        <v>127</v>
      </c>
      <c r="D4" s="32" t="s">
        <v>9</v>
      </c>
      <c r="E4" s="32" t="s">
        <v>126</v>
      </c>
      <c r="F4" s="32" t="s">
        <v>51</v>
      </c>
      <c r="G4" s="32" t="s">
        <v>53</v>
      </c>
      <c r="H4" s="32" t="s">
        <v>120</v>
      </c>
      <c r="I4" s="32" t="s">
        <v>130</v>
      </c>
      <c r="J4" s="32" t="s">
        <v>6</v>
      </c>
      <c r="K4" s="33" t="s">
        <v>18</v>
      </c>
      <c r="L4" s="33" t="s">
        <v>19</v>
      </c>
      <c r="M4" s="33" t="s">
        <v>143</v>
      </c>
      <c r="N4" s="33" t="s">
        <v>101</v>
      </c>
      <c r="O4" s="33" t="s">
        <v>138</v>
      </c>
      <c r="P4" s="33" t="s">
        <v>104</v>
      </c>
      <c r="Q4" s="33" t="s">
        <v>103</v>
      </c>
      <c r="R4" s="33" t="s">
        <v>48</v>
      </c>
      <c r="S4" s="33" t="s">
        <v>52</v>
      </c>
      <c r="T4" s="33" t="s">
        <v>35</v>
      </c>
      <c r="U4" s="33" t="s">
        <v>41</v>
      </c>
      <c r="V4" s="33" t="s">
        <v>148</v>
      </c>
      <c r="W4" s="33" t="s">
        <v>105</v>
      </c>
      <c r="X4" s="33" t="s">
        <v>106</v>
      </c>
      <c r="Y4" s="33" t="s">
        <v>112</v>
      </c>
      <c r="Z4" s="33" t="s">
        <v>113</v>
      </c>
      <c r="AA4" s="33" t="s">
        <v>116</v>
      </c>
      <c r="AB4" s="33" t="s">
        <v>144</v>
      </c>
      <c r="AC4" s="33" t="s">
        <v>107</v>
      </c>
      <c r="AD4" s="33" t="s">
        <v>114</v>
      </c>
      <c r="AE4" s="33" t="s">
        <v>115</v>
      </c>
      <c r="AF4" s="33" t="s">
        <v>118</v>
      </c>
      <c r="AG4" s="33" t="s">
        <v>117</v>
      </c>
      <c r="AH4" s="33" t="s">
        <v>145</v>
      </c>
      <c r="AI4" s="40" t="s">
        <v>119</v>
      </c>
    </row>
    <row r="5" spans="1:35" x14ac:dyDescent="0.25">
      <c r="A5" s="29">
        <v>1001</v>
      </c>
      <c r="B5" s="16" t="str">
        <f>LOOKUP(A5,کد_پرسنلی,نام_ونام_خانوادگی)</f>
        <v xml:space="preserve">علی محمدی </v>
      </c>
      <c r="C5" s="16">
        <f>LOOKUP(A5,کد_پرسنلی,روز_ماه)</f>
        <v>30</v>
      </c>
      <c r="D5" s="16">
        <f>LOOKUP(A5,کد_پرسنلی,روز_کارکرد)</f>
        <v>30</v>
      </c>
      <c r="E5" s="16">
        <f>LOOKUP(A5,کد_پرسنلی,اضافه_کار)</f>
        <v>20</v>
      </c>
      <c r="F5" s="16">
        <f>LOOKUP(A5,کد_پرسنلی,ماموریت)</f>
        <v>1</v>
      </c>
      <c r="G5" s="16">
        <f>LOOKUP(A5,کد_پرسنلی,جمعه_کاری)</f>
        <v>0</v>
      </c>
      <c r="H5" s="16">
        <f>LOOKUP(A5,کد_پرسنلی,مانده_مرخصی)</f>
        <v>0</v>
      </c>
      <c r="I5" s="16" t="str">
        <f>LOOKUP(A5,کد_پرسنلی,وضعیت_تاهل)</f>
        <v>متاهل</v>
      </c>
      <c r="J5" s="16">
        <f>LOOKUP(A5,کد_پرسنلی,تعداد_فرزند)</f>
        <v>2</v>
      </c>
      <c r="K5" s="17">
        <f>LOOKUP(A5,کد_پرسنلی,مزد_روزانه)</f>
        <v>3463655.6</v>
      </c>
      <c r="L5" s="17">
        <f>K5*D5</f>
        <v>103909668</v>
      </c>
      <c r="M5" s="17">
        <f>K5</f>
        <v>3463655.6</v>
      </c>
      <c r="N5" s="17">
        <f xml:space="preserve"> حق_مسکن/C5*D5</f>
        <v>9000000</v>
      </c>
      <c r="O5" s="17">
        <f>بن_خوار_و_بار/C5*D5</f>
        <v>22000000</v>
      </c>
      <c r="P5" s="17">
        <f>IF(I5="متاهل",حق_تاهل,0)/C5*D5</f>
        <v>5000000</v>
      </c>
      <c r="Q5" s="17">
        <f>حق_اولاد___یک_فرزند*J5/C5*D5</f>
        <v>20781933.600000001</v>
      </c>
      <c r="R5" s="17">
        <f>M5/7.33*1.4*E5</f>
        <v>13230880.873124145</v>
      </c>
      <c r="S5" s="17">
        <v>0</v>
      </c>
      <c r="T5" s="17">
        <v>0</v>
      </c>
      <c r="U5" s="17">
        <v>0</v>
      </c>
      <c r="V5" s="17">
        <v>0</v>
      </c>
      <c r="W5" s="17">
        <f>IF((M5*60)/365*D5&gt;حداکثر_عیدی_ماهانه,حداکثر_عیدی_ماهانه,(M5*60)/365*D5)</f>
        <v>17081041.315068495</v>
      </c>
      <c r="X5" s="17">
        <f>(M5*30)/365*D5</f>
        <v>8540520.6575342473</v>
      </c>
      <c r="Y5" s="17">
        <f>L5+N5+O5+P5+R5+S5+T5+U5</f>
        <v>153140548.87312415</v>
      </c>
      <c r="Z5" s="17">
        <f>L5+R5+S5+T5+U5</f>
        <v>117140548.87312415</v>
      </c>
      <c r="AA5" s="17">
        <f>Y5*20%</f>
        <v>30628109.774624832</v>
      </c>
      <c r="AB5" s="17">
        <f>Y5*3%</f>
        <v>4594216.4661937244</v>
      </c>
      <c r="AC5" s="17">
        <f>L5+N5+O5+P5+Q5+R5+S5+T5+U5+V5+W5+X5</f>
        <v>199544044.44572687</v>
      </c>
      <c r="AD5" s="17">
        <v>10000000</v>
      </c>
      <c r="AE5" s="17">
        <f>Y5*7%</f>
        <v>10719838.421118692</v>
      </c>
      <c r="AF5" s="17">
        <v>0</v>
      </c>
      <c r="AG5" s="17">
        <v>0</v>
      </c>
      <c r="AH5" s="17">
        <f>AG5+AF5+AE5+AD5</f>
        <v>20719838.421118692</v>
      </c>
      <c r="AI5" s="39">
        <f>AC5-AH5</f>
        <v>178824206.02460819</v>
      </c>
    </row>
    <row r="6" spans="1:35" x14ac:dyDescent="0.25">
      <c r="A6" s="35">
        <v>1002</v>
      </c>
      <c r="B6" s="36" t="str">
        <f>LOOKUP(A6,کد_پرسنلی,نام_ونام_خانوادگی)</f>
        <v>زهرا کریمی</v>
      </c>
      <c r="C6" s="36">
        <f>LOOKUP(A6,کد_پرسنلی,روز_ماه)</f>
        <v>30</v>
      </c>
      <c r="D6" s="36">
        <f>LOOKUP(A6,کد_پرسنلی,روز_کارکرد)</f>
        <v>25</v>
      </c>
      <c r="E6" s="36">
        <f>LOOKUP(A6,کد_پرسنلی,اضافه_کار)</f>
        <v>11</v>
      </c>
      <c r="F6" s="36">
        <f>LOOKUP(A6,کد_پرسنلی,ماموریت)</f>
        <v>0</v>
      </c>
      <c r="G6" s="36">
        <f>LOOKUP(A6,کد_پرسنلی,جمعه_کاری)</f>
        <v>2</v>
      </c>
      <c r="H6" s="36">
        <f>LOOKUP(A6,کد_پرسنلی,مانده_مرخصی)</f>
        <v>2</v>
      </c>
      <c r="I6" s="36" t="str">
        <f>LOOKUP(A6,کد_پرسنلی,وضعیت_تاهل)</f>
        <v>مجرد</v>
      </c>
      <c r="J6" s="36">
        <f>LOOKUP(A6,کد_پرسنلی,تعداد_فرزند)</f>
        <v>0</v>
      </c>
      <c r="K6" s="37">
        <f>LOOKUP(A6,کد_پرسنلی,مزد_روزانه)</f>
        <v>5000000</v>
      </c>
      <c r="L6" s="37">
        <f>K6*D6</f>
        <v>125000000</v>
      </c>
      <c r="M6" s="37">
        <f>K6</f>
        <v>5000000</v>
      </c>
      <c r="N6" s="37">
        <f xml:space="preserve"> حق_مسکن/C6*D6</f>
        <v>7500000</v>
      </c>
      <c r="O6" s="37">
        <f>بن_خوار_و_بار/C6*D6</f>
        <v>18333333.333333336</v>
      </c>
      <c r="P6" s="37">
        <f>IF(I6="متاهل",حق_تاهل,0)/C6*D6</f>
        <v>0</v>
      </c>
      <c r="Q6" s="37">
        <f>حق_اولاد___یک_فرزند*J6/C6*D6</f>
        <v>0</v>
      </c>
      <c r="R6" s="37">
        <f>M6/7.33*1.4*E6</f>
        <v>10504774.897680763</v>
      </c>
      <c r="S6" s="37">
        <v>0</v>
      </c>
      <c r="T6" s="37">
        <v>0</v>
      </c>
      <c r="U6" s="37">
        <v>0</v>
      </c>
      <c r="V6" s="37">
        <v>0</v>
      </c>
      <c r="W6" s="37">
        <f>IF((M6*60)/365*D6&gt;حداکثر_عیدی_ماهانه,حداکثر_عیدی_ماهانه,(M6*60)/365*D6)</f>
        <v>20547945.205479454</v>
      </c>
      <c r="X6" s="37">
        <f>(M6*30)/365*D6</f>
        <v>10273972.602739727</v>
      </c>
      <c r="Y6" s="37">
        <f>L6+N6+O6+P6+R6+S6+T6+U6</f>
        <v>161338108.2310141</v>
      </c>
      <c r="Z6" s="37">
        <f>L6+R6+S6+T6+U6</f>
        <v>135504774.89768076</v>
      </c>
      <c r="AA6" s="37">
        <f>Y6*20%</f>
        <v>32267621.646202821</v>
      </c>
      <c r="AB6" s="37">
        <f>Y6*3%</f>
        <v>4840143.2469304232</v>
      </c>
      <c r="AC6" s="37">
        <f>L6+N6+O6+P6+Q6+R6+S6+T6+U6+V6+W6+X6</f>
        <v>192160026.03923327</v>
      </c>
      <c r="AD6" s="37">
        <v>20000000</v>
      </c>
      <c r="AE6" s="37">
        <f>Y6*7%</f>
        <v>11293667.576170988</v>
      </c>
      <c r="AF6" s="37">
        <v>0</v>
      </c>
      <c r="AG6" s="37">
        <v>0</v>
      </c>
      <c r="AH6" s="37">
        <f>AG6+AF6+AE6+AD6</f>
        <v>31293667.576170988</v>
      </c>
      <c r="AI6" s="41">
        <f>AC6-AH6</f>
        <v>160866358.46306229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M35"/>
  <sheetViews>
    <sheetView rightToLeft="1" topLeftCell="B1" workbookViewId="0">
      <selection activeCell="H16" sqref="H16"/>
    </sheetView>
  </sheetViews>
  <sheetFormatPr defaultColWidth="9" defaultRowHeight="18" x14ac:dyDescent="0.45"/>
  <cols>
    <col min="1" max="4" width="9" style="1"/>
    <col min="5" max="5" width="18.5703125" style="1" bestFit="1" customWidth="1"/>
    <col min="6" max="6" width="17.42578125" style="3" bestFit="1" customWidth="1"/>
    <col min="7" max="7" width="16.42578125" style="3" bestFit="1" customWidth="1"/>
    <col min="8" max="8" width="30.42578125" style="2" bestFit="1" customWidth="1"/>
    <col min="9" max="9" width="33.7109375" style="2" bestFit="1" customWidth="1"/>
    <col min="10" max="10" width="34" style="2" bestFit="1" customWidth="1"/>
    <col min="11" max="11" width="19.28515625" style="2" bestFit="1" customWidth="1"/>
    <col min="12" max="12" width="27" style="1" customWidth="1"/>
    <col min="13" max="13" width="27.42578125" style="1" bestFit="1" customWidth="1"/>
    <col min="14" max="16384" width="9" style="1"/>
  </cols>
  <sheetData>
    <row r="1" spans="5:13" ht="18.75" thickBot="1" x14ac:dyDescent="0.5"/>
    <row r="2" spans="5:13" x14ac:dyDescent="0.45">
      <c r="E2" s="9" t="s">
        <v>20</v>
      </c>
      <c r="F2" s="21">
        <v>1404</v>
      </c>
      <c r="G2" s="10">
        <v>1403</v>
      </c>
      <c r="H2" s="2" t="s">
        <v>21</v>
      </c>
    </row>
    <row r="3" spans="5:13" x14ac:dyDescent="0.45">
      <c r="E3" s="11" t="s">
        <v>18</v>
      </c>
      <c r="F3" s="20">
        <v>3463655.6</v>
      </c>
      <c r="G3" s="12">
        <v>2388728</v>
      </c>
    </row>
    <row r="4" spans="5:13" x14ac:dyDescent="0.45">
      <c r="E4" s="11" t="s">
        <v>42</v>
      </c>
      <c r="F4" s="20">
        <f>F3*30</f>
        <v>103909668</v>
      </c>
      <c r="G4" s="12">
        <f>G3*30</f>
        <v>71661840</v>
      </c>
      <c r="I4" s="2" t="s">
        <v>43</v>
      </c>
      <c r="J4" s="2" t="s">
        <v>44</v>
      </c>
      <c r="K4" s="2" t="s">
        <v>85</v>
      </c>
    </row>
    <row r="5" spans="5:13" x14ac:dyDescent="0.45">
      <c r="E5" s="11" t="s">
        <v>22</v>
      </c>
      <c r="F5" s="20">
        <v>9000000</v>
      </c>
      <c r="G5" s="12">
        <v>9000000</v>
      </c>
      <c r="H5" s="2" t="s">
        <v>23</v>
      </c>
      <c r="I5" s="2" t="s">
        <v>86</v>
      </c>
      <c r="J5" s="2" t="s">
        <v>87</v>
      </c>
      <c r="K5" s="2" t="s">
        <v>88</v>
      </c>
    </row>
    <row r="6" spans="5:13" x14ac:dyDescent="0.45">
      <c r="E6" s="11" t="s">
        <v>24</v>
      </c>
      <c r="F6" s="20">
        <v>22000000</v>
      </c>
      <c r="G6" s="12">
        <v>14000000</v>
      </c>
      <c r="H6" s="2" t="s">
        <v>25</v>
      </c>
    </row>
    <row r="7" spans="5:13" x14ac:dyDescent="0.45">
      <c r="E7" s="11" t="s">
        <v>27</v>
      </c>
      <c r="F7" s="20">
        <f>F3*3</f>
        <v>10390966.800000001</v>
      </c>
      <c r="G7" s="12">
        <f>G3*3</f>
        <v>7166184</v>
      </c>
      <c r="H7" s="2" t="s">
        <v>26</v>
      </c>
      <c r="I7" s="2" t="s">
        <v>28</v>
      </c>
      <c r="J7" s="2" t="s">
        <v>29</v>
      </c>
      <c r="K7" s="2" t="s">
        <v>30</v>
      </c>
    </row>
    <row r="8" spans="5:13" x14ac:dyDescent="0.45">
      <c r="E8" s="11" t="s">
        <v>104</v>
      </c>
      <c r="F8" s="20">
        <v>5000000</v>
      </c>
      <c r="G8" s="12">
        <v>5000000</v>
      </c>
      <c r="H8" s="2" t="s">
        <v>112</v>
      </c>
      <c r="I8" s="2" t="s">
        <v>128</v>
      </c>
      <c r="J8" s="2" t="s">
        <v>129</v>
      </c>
    </row>
    <row r="9" spans="5:13" x14ac:dyDescent="0.45">
      <c r="E9" s="11" t="s">
        <v>31</v>
      </c>
      <c r="F9" s="20"/>
      <c r="G9" s="12"/>
      <c r="H9" s="2" t="s">
        <v>32</v>
      </c>
      <c r="I9" s="4">
        <v>0.4</v>
      </c>
      <c r="J9" s="2" t="s">
        <v>33</v>
      </c>
      <c r="K9" s="2" t="s">
        <v>34</v>
      </c>
    </row>
    <row r="10" spans="5:13" x14ac:dyDescent="0.45">
      <c r="E10" s="11" t="s">
        <v>53</v>
      </c>
      <c r="F10" s="20"/>
      <c r="G10" s="12"/>
      <c r="H10" s="2" t="s">
        <v>59</v>
      </c>
      <c r="I10" s="4">
        <v>0.4</v>
      </c>
      <c r="J10" s="2" t="s">
        <v>68</v>
      </c>
      <c r="K10" s="2" t="s">
        <v>69</v>
      </c>
    </row>
    <row r="11" spans="5:13" x14ac:dyDescent="0.45">
      <c r="E11" s="11" t="s">
        <v>70</v>
      </c>
      <c r="F11" s="20"/>
      <c r="G11" s="12"/>
      <c r="H11" s="2" t="s">
        <v>71</v>
      </c>
      <c r="I11" s="4" t="s">
        <v>72</v>
      </c>
      <c r="J11" s="2" t="s">
        <v>73</v>
      </c>
      <c r="K11" s="2" t="s">
        <v>76</v>
      </c>
    </row>
    <row r="12" spans="5:13" x14ac:dyDescent="0.45">
      <c r="E12" s="11" t="s">
        <v>35</v>
      </c>
      <c r="F12" s="20"/>
      <c r="G12" s="12"/>
      <c r="I12" s="4">
        <v>0.35</v>
      </c>
    </row>
    <row r="13" spans="5:13" x14ac:dyDescent="0.45">
      <c r="E13" s="11" t="s">
        <v>41</v>
      </c>
      <c r="F13" s="20"/>
      <c r="G13" s="12"/>
      <c r="I13" s="2" t="s">
        <v>74</v>
      </c>
      <c r="J13" s="2" t="s">
        <v>36</v>
      </c>
      <c r="K13" s="2" t="s">
        <v>37</v>
      </c>
      <c r="L13" s="1" t="s">
        <v>89</v>
      </c>
      <c r="M13" s="1" t="s">
        <v>77</v>
      </c>
    </row>
    <row r="14" spans="5:13" x14ac:dyDescent="0.45">
      <c r="E14" s="11" t="s">
        <v>139</v>
      </c>
      <c r="F14" s="20">
        <f>F3*60</f>
        <v>207819336</v>
      </c>
      <c r="G14" s="12">
        <f>G3*60</f>
        <v>143323680</v>
      </c>
      <c r="I14" s="2" t="s">
        <v>38</v>
      </c>
      <c r="J14" s="2" t="s">
        <v>39</v>
      </c>
    </row>
    <row r="15" spans="5:13" x14ac:dyDescent="0.45">
      <c r="E15" s="11" t="s">
        <v>140</v>
      </c>
      <c r="F15" s="20">
        <f>F3*90</f>
        <v>311729004</v>
      </c>
      <c r="G15" s="12">
        <f>G3*90</f>
        <v>214985520</v>
      </c>
    </row>
    <row r="16" spans="5:13" x14ac:dyDescent="0.45">
      <c r="E16" s="11" t="s">
        <v>141</v>
      </c>
      <c r="F16" s="20">
        <f>حداقل_عیدی/12</f>
        <v>17318278</v>
      </c>
      <c r="G16" s="12"/>
    </row>
    <row r="17" spans="5:13" x14ac:dyDescent="0.45">
      <c r="E17" s="11" t="s">
        <v>142</v>
      </c>
      <c r="F17" s="20">
        <f>حداکثر_عیدی/12</f>
        <v>25977417</v>
      </c>
      <c r="G17" s="12"/>
    </row>
    <row r="18" spans="5:13" x14ac:dyDescent="0.45">
      <c r="E18" s="11" t="s">
        <v>40</v>
      </c>
      <c r="F18" s="20"/>
      <c r="G18" s="12"/>
      <c r="I18" s="5" t="s">
        <v>81</v>
      </c>
      <c r="J18" s="2" t="s">
        <v>82</v>
      </c>
    </row>
    <row r="19" spans="5:13" x14ac:dyDescent="0.45">
      <c r="E19" s="11" t="s">
        <v>45</v>
      </c>
      <c r="F19" s="20"/>
      <c r="G19" s="12"/>
    </row>
    <row r="20" spans="5:13" x14ac:dyDescent="0.45">
      <c r="E20" s="11" t="s">
        <v>83</v>
      </c>
      <c r="F20" s="20"/>
      <c r="G20" s="12"/>
      <c r="H20" s="2">
        <f>مزد_روزانه*60</f>
        <v>207819336</v>
      </c>
    </row>
    <row r="21" spans="5:13" x14ac:dyDescent="0.45">
      <c r="E21" s="11" t="s">
        <v>84</v>
      </c>
      <c r="F21" s="20"/>
      <c r="G21" s="12"/>
      <c r="H21" s="2">
        <f>H20/365</f>
        <v>569368.04383561644</v>
      </c>
    </row>
    <row r="22" spans="5:13" x14ac:dyDescent="0.45">
      <c r="E22" s="11" t="s">
        <v>46</v>
      </c>
      <c r="F22" s="20"/>
      <c r="G22" s="12"/>
      <c r="H22" s="15">
        <f>H21*30</f>
        <v>17081041.315068495</v>
      </c>
    </row>
    <row r="23" spans="5:13" x14ac:dyDescent="0.45">
      <c r="E23" s="11" t="s">
        <v>47</v>
      </c>
      <c r="F23" s="20"/>
      <c r="G23" s="12"/>
    </row>
    <row r="24" spans="5:13" x14ac:dyDescent="0.45">
      <c r="E24" s="11" t="s">
        <v>49</v>
      </c>
      <c r="F24" s="20"/>
      <c r="G24" s="12"/>
    </row>
    <row r="25" spans="5:13" x14ac:dyDescent="0.45">
      <c r="E25" s="11" t="s">
        <v>50</v>
      </c>
      <c r="F25" s="20"/>
      <c r="G25" s="12"/>
      <c r="I25" s="2" t="s">
        <v>78</v>
      </c>
    </row>
    <row r="26" spans="5:13" x14ac:dyDescent="0.45">
      <c r="E26" s="11" t="s">
        <v>51</v>
      </c>
      <c r="F26" s="20"/>
      <c r="G26" s="12"/>
      <c r="I26" s="2" t="s">
        <v>60</v>
      </c>
      <c r="J26" s="5" t="s">
        <v>62</v>
      </c>
      <c r="K26" s="2" t="s">
        <v>63</v>
      </c>
      <c r="L26" s="1" t="s">
        <v>64</v>
      </c>
      <c r="M26" s="1" t="s">
        <v>80</v>
      </c>
    </row>
    <row r="27" spans="5:13" x14ac:dyDescent="0.45">
      <c r="E27" s="11" t="s">
        <v>54</v>
      </c>
      <c r="F27" s="20"/>
      <c r="G27" s="12"/>
      <c r="I27" s="2" t="s">
        <v>55</v>
      </c>
      <c r="J27" s="2" t="s">
        <v>61</v>
      </c>
    </row>
    <row r="28" spans="5:13" x14ac:dyDescent="0.45">
      <c r="E28" s="11" t="s">
        <v>57</v>
      </c>
      <c r="F28" s="20"/>
      <c r="G28" s="12"/>
      <c r="H28" s="2" t="s">
        <v>58</v>
      </c>
    </row>
    <row r="29" spans="5:13" ht="18.75" thickBot="1" x14ac:dyDescent="0.5">
      <c r="E29" s="13" t="s">
        <v>75</v>
      </c>
      <c r="F29" s="22"/>
      <c r="G29" s="14"/>
      <c r="H29" s="2" t="s">
        <v>43</v>
      </c>
      <c r="I29" s="2" t="s">
        <v>65</v>
      </c>
      <c r="J29" s="2" t="s">
        <v>66</v>
      </c>
      <c r="K29" s="2" t="s">
        <v>67</v>
      </c>
      <c r="L29" s="1" t="s">
        <v>79</v>
      </c>
    </row>
    <row r="34" spans="9:9" x14ac:dyDescent="0.45">
      <c r="I34" s="15"/>
    </row>
    <row r="35" spans="9:9" x14ac:dyDescent="0.45">
      <c r="I3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I19"/>
  <sheetViews>
    <sheetView rightToLeft="1" workbookViewId="0">
      <selection activeCell="D18" sqref="D18:I18"/>
    </sheetView>
  </sheetViews>
  <sheetFormatPr defaultColWidth="9" defaultRowHeight="18" x14ac:dyDescent="0.45"/>
  <cols>
    <col min="1" max="3" width="9" style="1"/>
    <col min="4" max="4" width="18" style="2" customWidth="1"/>
    <col min="5" max="5" width="20" style="2" customWidth="1"/>
    <col min="6" max="6" width="18.5703125" style="2" customWidth="1"/>
    <col min="7" max="7" width="15.42578125" style="2" customWidth="1"/>
    <col min="8" max="8" width="16.85546875" style="2" customWidth="1"/>
    <col min="9" max="9" width="22.5703125" style="2" customWidth="1"/>
    <col min="10" max="16384" width="9" style="1"/>
  </cols>
  <sheetData>
    <row r="1" spans="4:9" ht="22.5" x14ac:dyDescent="0.45">
      <c r="D1" s="46" t="s">
        <v>132</v>
      </c>
      <c r="E1" s="46"/>
      <c r="F1" s="46"/>
      <c r="G1" s="46"/>
      <c r="H1" s="46"/>
      <c r="I1" s="46"/>
    </row>
    <row r="2" spans="4:9" ht="22.5" x14ac:dyDescent="0.45">
      <c r="D2" s="46" t="s">
        <v>133</v>
      </c>
      <c r="E2" s="46"/>
      <c r="F2" s="46"/>
      <c r="G2" s="46"/>
      <c r="H2" s="46"/>
      <c r="I2" s="46"/>
    </row>
    <row r="3" spans="4:9" ht="19.5" x14ac:dyDescent="0.45">
      <c r="D3" s="47" t="s">
        <v>108</v>
      </c>
      <c r="E3" s="47"/>
      <c r="F3" s="47" t="s">
        <v>110</v>
      </c>
      <c r="G3" s="47"/>
      <c r="H3" s="47" t="s">
        <v>111</v>
      </c>
      <c r="I3" s="47"/>
    </row>
    <row r="4" spans="4:9" x14ac:dyDescent="0.45">
      <c r="D4" s="16" t="s">
        <v>0</v>
      </c>
      <c r="E4" s="16">
        <v>1002</v>
      </c>
      <c r="F4" s="17" t="s">
        <v>18</v>
      </c>
      <c r="G4" s="17">
        <f>VLOOKUP($E$4,Table2[],11,0)</f>
        <v>5000000</v>
      </c>
      <c r="H4" s="17" t="s">
        <v>114</v>
      </c>
      <c r="I4" s="17">
        <f>VLOOKUP($E$4,Table2[],30,0)</f>
        <v>20000000</v>
      </c>
    </row>
    <row r="5" spans="4:9" x14ac:dyDescent="0.45">
      <c r="D5" s="43" t="s">
        <v>17</v>
      </c>
      <c r="E5" s="43" t="str">
        <f>VLOOKUP($E$4,Table1[],2,0)</f>
        <v>زهرا کریمی</v>
      </c>
      <c r="F5" s="44" t="s">
        <v>19</v>
      </c>
      <c r="G5" s="44">
        <f>VLOOKUP($E$4,Table2[],12,0)</f>
        <v>125000000</v>
      </c>
      <c r="H5" s="44" t="s">
        <v>115</v>
      </c>
      <c r="I5" s="44">
        <f>VLOOKUP($E$4,Table2[],31,0)</f>
        <v>11293667.576170988</v>
      </c>
    </row>
    <row r="6" spans="4:9" x14ac:dyDescent="0.45">
      <c r="D6" s="16" t="s">
        <v>2</v>
      </c>
      <c r="E6" s="16">
        <f>VLOOKUP($E$4,Table1[],3,0)</f>
        <v>5448800025</v>
      </c>
      <c r="F6" s="17" t="s">
        <v>101</v>
      </c>
      <c r="G6" s="17">
        <f>VLOOKUP($E$4,Table2[],14,0)</f>
        <v>7500000</v>
      </c>
      <c r="H6" s="17" t="s">
        <v>118</v>
      </c>
      <c r="I6" s="17">
        <f>VLOOKUP($E$4,Table2[],32,0)</f>
        <v>0</v>
      </c>
    </row>
    <row r="7" spans="4:9" x14ac:dyDescent="0.45">
      <c r="D7" s="43" t="s">
        <v>149</v>
      </c>
      <c r="E7" s="43">
        <f>VLOOKUP($E$4,Table1[],4,0)</f>
        <v>20850044</v>
      </c>
      <c r="F7" s="44" t="s">
        <v>102</v>
      </c>
      <c r="G7" s="44">
        <f>VLOOKUP($E$4,Table2[],15,0)</f>
        <v>18333333.333333336</v>
      </c>
      <c r="H7" s="44" t="s">
        <v>117</v>
      </c>
      <c r="I7" s="44">
        <f>VLOOKUP($E$4,Table2[],33,0)</f>
        <v>0</v>
      </c>
    </row>
    <row r="8" spans="4:9" x14ac:dyDescent="0.45">
      <c r="D8" s="16" t="s">
        <v>4</v>
      </c>
      <c r="E8" s="16" t="str">
        <f>VLOOKUP($E$4,Table1[],5,0)</f>
        <v>حسن</v>
      </c>
      <c r="F8" s="17" t="s">
        <v>104</v>
      </c>
      <c r="G8" s="17">
        <f>VLOOKUP($E$4,Table2[],16,0)</f>
        <v>0</v>
      </c>
      <c r="H8" s="17" t="s">
        <v>119</v>
      </c>
      <c r="I8" s="17">
        <f>VLOOKUP($E$4,Table2[],34,0)</f>
        <v>31293667.576170988</v>
      </c>
    </row>
    <row r="9" spans="4:9" x14ac:dyDescent="0.45">
      <c r="D9" s="43" t="s">
        <v>7</v>
      </c>
      <c r="E9" s="43" t="str">
        <f>VLOOKUP($E$4,Table1[],9,0)</f>
        <v>کارشناس فروش</v>
      </c>
      <c r="F9" s="44" t="s">
        <v>103</v>
      </c>
      <c r="G9" s="44">
        <f>VLOOKUP($E$4,Table2[],17,0)</f>
        <v>0</v>
      </c>
      <c r="H9" s="51" t="s">
        <v>146</v>
      </c>
      <c r="I9" s="54">
        <f>VLOOKUP($E$4,Table2[],35,0)</f>
        <v>160866358.46306229</v>
      </c>
    </row>
    <row r="10" spans="4:9" x14ac:dyDescent="0.45">
      <c r="D10" s="42" t="s">
        <v>127</v>
      </c>
      <c r="E10" s="16">
        <f>VLOOKUP($E$4,Table1[],12,0)</f>
        <v>30</v>
      </c>
      <c r="F10" s="17" t="s">
        <v>48</v>
      </c>
      <c r="G10" s="17">
        <f>VLOOKUP($E$4,Table2[],18,0)</f>
        <v>10504774.897680763</v>
      </c>
      <c r="H10" s="52"/>
      <c r="I10" s="55">
        <f>VLOOKUP($E$4,Table2[],34,0)</f>
        <v>31293667.576170988</v>
      </c>
    </row>
    <row r="11" spans="4:9" x14ac:dyDescent="0.45">
      <c r="D11" s="43" t="s">
        <v>9</v>
      </c>
      <c r="E11" s="43">
        <f>VLOOKUP($E$4,Table1[],11,0)</f>
        <v>25</v>
      </c>
      <c r="F11" s="44" t="s">
        <v>52</v>
      </c>
      <c r="G11" s="44">
        <f>VLOOKUP($E$4,Table2[],19,0)</f>
        <v>0</v>
      </c>
      <c r="H11" s="52"/>
      <c r="I11" s="55">
        <f>VLOOKUP($E$4,Table2[],34,0)</f>
        <v>31293667.576170988</v>
      </c>
    </row>
    <row r="12" spans="4:9" x14ac:dyDescent="0.45">
      <c r="D12" s="42" t="s">
        <v>126</v>
      </c>
      <c r="E12" s="16">
        <f>VLOOKUP($E$4,Table1[],14,0)</f>
        <v>11</v>
      </c>
      <c r="F12" s="17" t="s">
        <v>35</v>
      </c>
      <c r="G12" s="17">
        <f>VLOOKUP($E$4,Table2[],20,0)</f>
        <v>0</v>
      </c>
      <c r="H12" s="53"/>
      <c r="I12" s="56">
        <f>VLOOKUP($E$4,Table2[],34,0)</f>
        <v>31293667.576170988</v>
      </c>
    </row>
    <row r="13" spans="4:9" x14ac:dyDescent="0.45">
      <c r="D13" s="43" t="s">
        <v>51</v>
      </c>
      <c r="E13" s="43">
        <f>VLOOKUP($E$4,Table1[],15,0)</f>
        <v>0</v>
      </c>
      <c r="F13" s="44" t="s">
        <v>41</v>
      </c>
      <c r="G13" s="44">
        <f>VLOOKUP($E$4,Table2[],21,0)</f>
        <v>0</v>
      </c>
      <c r="H13" s="48" t="s">
        <v>147</v>
      </c>
      <c r="I13" s="48"/>
    </row>
    <row r="14" spans="4:9" x14ac:dyDescent="0.45">
      <c r="D14" s="42" t="s">
        <v>53</v>
      </c>
      <c r="E14" s="16">
        <f>VLOOKUP($E$4,Table1[],16,0)</f>
        <v>2</v>
      </c>
      <c r="F14" s="17" t="s">
        <v>51</v>
      </c>
      <c r="G14" s="17">
        <f>VLOOKUP($E$4,Table2[],22,0)</f>
        <v>0</v>
      </c>
      <c r="H14" s="49"/>
      <c r="I14" s="49"/>
    </row>
    <row r="15" spans="4:9" x14ac:dyDescent="0.45">
      <c r="D15" s="43" t="s">
        <v>120</v>
      </c>
      <c r="E15" s="43">
        <f>VLOOKUP($E$4,Table1[],17,0)</f>
        <v>2</v>
      </c>
      <c r="F15" s="44" t="s">
        <v>105</v>
      </c>
      <c r="G15" s="44">
        <f>VLOOKUP($E$4,Table2[],23,0)</f>
        <v>20547945.205479454</v>
      </c>
      <c r="H15" s="49"/>
      <c r="I15" s="49"/>
    </row>
    <row r="16" spans="4:9" x14ac:dyDescent="0.45">
      <c r="D16" s="42" t="s">
        <v>130</v>
      </c>
      <c r="E16" s="16" t="str">
        <f>VLOOKUP($E$4,Table1[],8,0)</f>
        <v>مجرد</v>
      </c>
      <c r="F16" s="17" t="s">
        <v>106</v>
      </c>
      <c r="G16" s="17">
        <f>VLOOKUP($E$4,Table2[],24,0)</f>
        <v>10273972.602739727</v>
      </c>
      <c r="H16" s="49"/>
      <c r="I16" s="49"/>
    </row>
    <row r="17" spans="4:9" x14ac:dyDescent="0.45">
      <c r="D17" s="43" t="s">
        <v>131</v>
      </c>
      <c r="E17" s="43">
        <f>VLOOKUP($E$4,Table1[],7,0)</f>
        <v>0</v>
      </c>
      <c r="F17" s="44" t="s">
        <v>107</v>
      </c>
      <c r="G17" s="44">
        <f>VLOOKUP($E$4,Table2[],29,0)</f>
        <v>192160026.03923327</v>
      </c>
      <c r="H17" s="50"/>
      <c r="I17" s="50"/>
    </row>
    <row r="18" spans="4:9" ht="24" customHeight="1" x14ac:dyDescent="0.45">
      <c r="D18" s="45" t="s">
        <v>134</v>
      </c>
      <c r="E18" s="45"/>
      <c r="F18" s="45"/>
      <c r="G18" s="45"/>
      <c r="H18" s="45"/>
      <c r="I18" s="45"/>
    </row>
    <row r="19" spans="4:9" ht="15.75" customHeight="1" x14ac:dyDescent="0.45"/>
  </sheetData>
  <mergeCells count="10">
    <mergeCell ref="D18:I18"/>
    <mergeCell ref="D1:I1"/>
    <mergeCell ref="D2:I2"/>
    <mergeCell ref="D3:E3"/>
    <mergeCell ref="F3:G3"/>
    <mergeCell ref="H3:I3"/>
    <mergeCell ref="H13:H17"/>
    <mergeCell ref="I13:I17"/>
    <mergeCell ref="H9:H12"/>
    <mergeCell ref="I9:I12"/>
  </mergeCells>
  <dataValidations count="1">
    <dataValidation type="list" allowBlank="1" showInputMessage="1" showErrorMessage="1" sqref="E4" xr:uid="{00000000-0002-0000-0300-000000000000}">
      <formula1>کد_پرسنلی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3:M18"/>
  <sheetViews>
    <sheetView rightToLeft="1" workbookViewId="0">
      <selection activeCell="F21" sqref="F21"/>
    </sheetView>
  </sheetViews>
  <sheetFormatPr defaultColWidth="9" defaultRowHeight="22.5" x14ac:dyDescent="0.55000000000000004"/>
  <cols>
    <col min="1" max="5" width="9" style="8"/>
    <col min="6" max="6" width="25.42578125" style="6" bestFit="1" customWidth="1"/>
    <col min="7" max="7" width="22.140625" style="6" bestFit="1" customWidth="1"/>
    <col min="8" max="9" width="20.140625" style="6" bestFit="1" customWidth="1"/>
    <col min="10" max="10" width="9.28515625" style="7" bestFit="1" customWidth="1"/>
    <col min="11" max="11" width="20.140625" style="7" bestFit="1" customWidth="1"/>
    <col min="12" max="12" width="18.85546875" style="7" bestFit="1" customWidth="1"/>
    <col min="13" max="13" width="18.85546875" style="8" bestFit="1" customWidth="1"/>
    <col min="14" max="16384" width="9" style="8"/>
  </cols>
  <sheetData>
    <row r="3" spans="6:13" x14ac:dyDescent="0.55000000000000004">
      <c r="F3" s="6" t="s">
        <v>90</v>
      </c>
    </row>
    <row r="4" spans="6:13" x14ac:dyDescent="0.55000000000000004">
      <c r="F4" s="57" t="s">
        <v>91</v>
      </c>
      <c r="G4" s="57"/>
      <c r="H4" s="57" t="s">
        <v>92</v>
      </c>
      <c r="I4" s="57"/>
      <c r="J4" s="24" t="s">
        <v>93</v>
      </c>
      <c r="K4" s="24" t="s">
        <v>94</v>
      </c>
      <c r="L4" s="24" t="s">
        <v>95</v>
      </c>
      <c r="M4" s="25" t="s">
        <v>96</v>
      </c>
    </row>
    <row r="5" spans="6:13" x14ac:dyDescent="0.55000000000000004">
      <c r="F5" s="23">
        <v>0</v>
      </c>
      <c r="G5" s="23">
        <v>1440000000</v>
      </c>
      <c r="H5" s="23">
        <f>F5/12</f>
        <v>0</v>
      </c>
      <c r="I5" s="23">
        <f>G5/12</f>
        <v>120000000</v>
      </c>
      <c r="J5" s="26">
        <v>0</v>
      </c>
      <c r="K5" s="27">
        <f>I5-H5</f>
        <v>120000000</v>
      </c>
      <c r="L5" s="27">
        <f>J5*K5</f>
        <v>0</v>
      </c>
      <c r="M5" s="25"/>
    </row>
    <row r="6" spans="6:13" x14ac:dyDescent="0.55000000000000004">
      <c r="F6" s="23">
        <v>1440000000</v>
      </c>
      <c r="G6" s="23">
        <v>1980000000</v>
      </c>
      <c r="H6" s="23">
        <f t="shared" ref="H6:H9" si="0">F6/12</f>
        <v>120000000</v>
      </c>
      <c r="I6" s="23">
        <f t="shared" ref="I6:I9" si="1">G6/12</f>
        <v>165000000</v>
      </c>
      <c r="J6" s="26">
        <v>0.1</v>
      </c>
      <c r="K6" s="27">
        <f t="shared" ref="K6:K8" si="2">I6-H6</f>
        <v>45000000</v>
      </c>
      <c r="L6" s="27">
        <f t="shared" ref="L6:L8" si="3">J6*K6</f>
        <v>4500000</v>
      </c>
      <c r="M6" s="28">
        <f>L6+M5</f>
        <v>4500000</v>
      </c>
    </row>
    <row r="7" spans="6:13" x14ac:dyDescent="0.55000000000000004">
      <c r="F7" s="23">
        <v>1980000000</v>
      </c>
      <c r="G7" s="23">
        <v>3240000000</v>
      </c>
      <c r="H7" s="23">
        <f t="shared" si="0"/>
        <v>165000000</v>
      </c>
      <c r="I7" s="23">
        <f t="shared" si="1"/>
        <v>270000000</v>
      </c>
      <c r="J7" s="26">
        <v>0.15</v>
      </c>
      <c r="K7" s="27">
        <f t="shared" si="2"/>
        <v>105000000</v>
      </c>
      <c r="L7" s="27">
        <f t="shared" si="3"/>
        <v>15750000</v>
      </c>
      <c r="M7" s="28">
        <f t="shared" ref="M7:M8" si="4">L7+M6</f>
        <v>20250000</v>
      </c>
    </row>
    <row r="8" spans="6:13" x14ac:dyDescent="0.55000000000000004">
      <c r="F8" s="23">
        <v>3240000000</v>
      </c>
      <c r="G8" s="23">
        <v>4800000000</v>
      </c>
      <c r="H8" s="23">
        <f t="shared" si="0"/>
        <v>270000000</v>
      </c>
      <c r="I8" s="23">
        <f t="shared" si="1"/>
        <v>400000000</v>
      </c>
      <c r="J8" s="26">
        <v>0.2</v>
      </c>
      <c r="K8" s="27">
        <f t="shared" si="2"/>
        <v>130000000</v>
      </c>
      <c r="L8" s="27">
        <f t="shared" si="3"/>
        <v>26000000</v>
      </c>
      <c r="M8" s="28">
        <f t="shared" si="4"/>
        <v>46250000</v>
      </c>
    </row>
    <row r="9" spans="6:13" x14ac:dyDescent="0.55000000000000004">
      <c r="F9" s="23">
        <v>4800000000</v>
      </c>
      <c r="G9" s="23"/>
      <c r="H9" s="23">
        <f t="shared" si="0"/>
        <v>400000000</v>
      </c>
      <c r="I9" s="23">
        <f t="shared" si="1"/>
        <v>0</v>
      </c>
      <c r="J9" s="26">
        <v>0.3</v>
      </c>
      <c r="K9" s="24"/>
      <c r="L9" s="24"/>
      <c r="M9" s="25"/>
    </row>
    <row r="11" spans="6:13" x14ac:dyDescent="0.55000000000000004">
      <c r="F11" s="6" t="s">
        <v>97</v>
      </c>
    </row>
    <row r="12" spans="6:13" x14ac:dyDescent="0.55000000000000004">
      <c r="F12" s="57" t="s">
        <v>91</v>
      </c>
      <c r="G12" s="57"/>
      <c r="H12" s="57" t="s">
        <v>92</v>
      </c>
      <c r="I12" s="57"/>
      <c r="J12" s="24" t="s">
        <v>93</v>
      </c>
      <c r="K12" s="24" t="s">
        <v>94</v>
      </c>
      <c r="L12" s="24" t="s">
        <v>95</v>
      </c>
      <c r="M12" s="25" t="s">
        <v>96</v>
      </c>
    </row>
    <row r="13" spans="6:13" x14ac:dyDescent="0.55000000000000004">
      <c r="F13" s="23">
        <v>0</v>
      </c>
      <c r="G13" s="23">
        <v>2880000000</v>
      </c>
      <c r="H13" s="23">
        <f>F13/12</f>
        <v>0</v>
      </c>
      <c r="I13" s="23">
        <f>G13/12</f>
        <v>240000000</v>
      </c>
      <c r="J13" s="26">
        <v>0</v>
      </c>
      <c r="K13" s="27">
        <f>I13-H13</f>
        <v>240000000</v>
      </c>
      <c r="L13" s="27">
        <f>J13*K13</f>
        <v>0</v>
      </c>
      <c r="M13" s="25"/>
    </row>
    <row r="14" spans="6:13" x14ac:dyDescent="0.55000000000000004">
      <c r="F14" s="23">
        <f>G13</f>
        <v>2880000000</v>
      </c>
      <c r="G14" s="23">
        <v>3600000000</v>
      </c>
      <c r="H14" s="23">
        <f t="shared" ref="H14:H17" si="5">F14/12</f>
        <v>240000000</v>
      </c>
      <c r="I14" s="23">
        <f t="shared" ref="I14:I17" si="6">G14/12</f>
        <v>300000000</v>
      </c>
      <c r="J14" s="26">
        <v>0.1</v>
      </c>
      <c r="K14" s="27">
        <f t="shared" ref="K14:K17" si="7">I14-H14</f>
        <v>60000000</v>
      </c>
      <c r="L14" s="27">
        <f t="shared" ref="L14:L17" si="8">J14*K14</f>
        <v>6000000</v>
      </c>
      <c r="M14" s="28">
        <f>L14+M13</f>
        <v>6000000</v>
      </c>
    </row>
    <row r="15" spans="6:13" x14ac:dyDescent="0.55000000000000004">
      <c r="F15" s="23">
        <f t="shared" ref="F15:F18" si="9">G14</f>
        <v>3600000000</v>
      </c>
      <c r="G15" s="23">
        <v>4560000000</v>
      </c>
      <c r="H15" s="23">
        <f t="shared" si="5"/>
        <v>300000000</v>
      </c>
      <c r="I15" s="23">
        <f t="shared" si="6"/>
        <v>380000000</v>
      </c>
      <c r="J15" s="26">
        <v>0.15</v>
      </c>
      <c r="K15" s="27">
        <f t="shared" si="7"/>
        <v>80000000</v>
      </c>
      <c r="L15" s="27">
        <f t="shared" si="8"/>
        <v>12000000</v>
      </c>
      <c r="M15" s="28">
        <f t="shared" ref="M15:M17" si="10">L15+M14</f>
        <v>18000000</v>
      </c>
    </row>
    <row r="16" spans="6:13" x14ac:dyDescent="0.55000000000000004">
      <c r="F16" s="23">
        <f t="shared" si="9"/>
        <v>4560000000</v>
      </c>
      <c r="G16" s="23">
        <v>6000000000</v>
      </c>
      <c r="H16" s="23">
        <f t="shared" si="5"/>
        <v>380000000</v>
      </c>
      <c r="I16" s="23">
        <f t="shared" si="6"/>
        <v>500000000</v>
      </c>
      <c r="J16" s="26">
        <v>0.2</v>
      </c>
      <c r="K16" s="27">
        <f t="shared" si="7"/>
        <v>120000000</v>
      </c>
      <c r="L16" s="27">
        <f t="shared" si="8"/>
        <v>24000000</v>
      </c>
      <c r="M16" s="28">
        <f t="shared" si="10"/>
        <v>42000000</v>
      </c>
    </row>
    <row r="17" spans="6:13" x14ac:dyDescent="0.55000000000000004">
      <c r="F17" s="23">
        <f t="shared" si="9"/>
        <v>6000000000</v>
      </c>
      <c r="G17" s="23">
        <v>8000000000</v>
      </c>
      <c r="H17" s="23">
        <f t="shared" si="5"/>
        <v>500000000</v>
      </c>
      <c r="I17" s="23">
        <f t="shared" si="6"/>
        <v>666666666.66666663</v>
      </c>
      <c r="J17" s="26">
        <v>0.25</v>
      </c>
      <c r="K17" s="27">
        <f t="shared" si="7"/>
        <v>166666666.66666663</v>
      </c>
      <c r="L17" s="27">
        <f t="shared" si="8"/>
        <v>41666666.666666657</v>
      </c>
      <c r="M17" s="28">
        <f t="shared" si="10"/>
        <v>83666666.666666657</v>
      </c>
    </row>
    <row r="18" spans="6:13" x14ac:dyDescent="0.55000000000000004">
      <c r="F18" s="23">
        <f t="shared" si="9"/>
        <v>8000000000</v>
      </c>
      <c r="G18" s="23"/>
      <c r="H18" s="23"/>
      <c r="I18" s="23"/>
      <c r="J18" s="26">
        <v>0.3</v>
      </c>
      <c r="K18" s="24"/>
      <c r="L18" s="24"/>
      <c r="M18" s="25"/>
    </row>
  </sheetData>
  <mergeCells count="4">
    <mergeCell ref="F4:G4"/>
    <mergeCell ref="H4:I4"/>
    <mergeCell ref="F12:G12"/>
    <mergeCell ref="H12:I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4"/>
  <sheetViews>
    <sheetView rightToLeft="1" workbookViewId="0">
      <selection activeCell="I20" sqref="I20"/>
    </sheetView>
  </sheetViews>
  <sheetFormatPr defaultRowHeight="18" x14ac:dyDescent="0.25"/>
  <cols>
    <col min="2" max="2" width="18.7109375" style="15" customWidth="1"/>
    <col min="3" max="3" width="26.28515625" style="15" customWidth="1"/>
    <col min="4" max="5" width="15.42578125" customWidth="1"/>
  </cols>
  <sheetData>
    <row r="2" spans="2:3" ht="18.75" thickBot="1" x14ac:dyDescent="0.3"/>
    <row r="3" spans="2:3" ht="20.25" thickBot="1" x14ac:dyDescent="0.3">
      <c r="B3" s="18" t="s">
        <v>136</v>
      </c>
      <c r="C3" s="18" t="s">
        <v>135</v>
      </c>
    </row>
    <row r="4" spans="2:3" ht="19.5" thickTop="1" thickBot="1" x14ac:dyDescent="0.3">
      <c r="B4" s="19">
        <v>0</v>
      </c>
      <c r="C4" s="19">
        <v>0</v>
      </c>
    </row>
    <row r="5" spans="2:3" ht="18.75" thickBot="1" x14ac:dyDescent="0.3">
      <c r="B5" s="19">
        <v>1</v>
      </c>
      <c r="C5" s="19">
        <v>70000</v>
      </c>
    </row>
    <row r="6" spans="2:3" ht="18.75" thickBot="1" x14ac:dyDescent="0.3">
      <c r="B6" s="19">
        <v>2</v>
      </c>
      <c r="C6" s="19">
        <v>155400</v>
      </c>
    </row>
    <row r="7" spans="2:3" ht="18.75" thickBot="1" x14ac:dyDescent="0.3">
      <c r="B7" s="19">
        <v>3</v>
      </c>
      <c r="C7" s="19">
        <v>258734</v>
      </c>
    </row>
    <row r="8" spans="2:3" ht="18.75" thickBot="1" x14ac:dyDescent="0.3">
      <c r="B8" s="19">
        <v>4</v>
      </c>
      <c r="C8" s="19">
        <v>353801</v>
      </c>
    </row>
    <row r="9" spans="2:3" ht="18.75" thickBot="1" x14ac:dyDescent="0.3">
      <c r="B9" s="19">
        <v>5</v>
      </c>
      <c r="C9" s="19">
        <v>439362</v>
      </c>
    </row>
    <row r="10" spans="2:3" ht="18.75" thickBot="1" x14ac:dyDescent="0.3">
      <c r="B10" s="19">
        <v>6</v>
      </c>
      <c r="C10" s="19">
        <v>508237</v>
      </c>
    </row>
    <row r="11" spans="2:3" ht="18.75" thickBot="1" x14ac:dyDescent="0.3">
      <c r="B11" s="19">
        <v>7</v>
      </c>
      <c r="C11" s="19">
        <v>564941</v>
      </c>
    </row>
    <row r="12" spans="2:3" ht="18.75" thickBot="1" x14ac:dyDescent="0.3">
      <c r="B12" s="19">
        <v>8</v>
      </c>
      <c r="C12" s="19">
        <v>627545</v>
      </c>
    </row>
    <row r="13" spans="2:3" ht="18.75" thickBot="1" x14ac:dyDescent="0.3">
      <c r="B13" s="19">
        <v>9</v>
      </c>
      <c r="C13" s="19">
        <v>668787</v>
      </c>
    </row>
    <row r="14" spans="2:3" ht="18.75" thickBot="1" x14ac:dyDescent="0.3">
      <c r="B14" s="19">
        <v>10</v>
      </c>
      <c r="C14" s="19">
        <v>715803</v>
      </c>
    </row>
    <row r="15" spans="2:3" ht="18.75" thickBot="1" x14ac:dyDescent="0.3">
      <c r="B15" s="19">
        <v>11</v>
      </c>
      <c r="C15" s="19">
        <v>743309</v>
      </c>
    </row>
    <row r="16" spans="2:3" ht="18.75" thickBot="1" x14ac:dyDescent="0.3">
      <c r="B16" s="19">
        <v>12</v>
      </c>
      <c r="C16" s="19">
        <v>761794</v>
      </c>
    </row>
    <row r="17" spans="2:3" ht="18.75" thickBot="1" x14ac:dyDescent="0.3">
      <c r="B17" s="19">
        <v>13</v>
      </c>
      <c r="C17" s="19">
        <v>778738</v>
      </c>
    </row>
    <row r="18" spans="2:3" ht="18.75" thickBot="1" x14ac:dyDescent="0.3">
      <c r="B18" s="19">
        <v>14</v>
      </c>
      <c r="C18" s="19">
        <v>793243</v>
      </c>
    </row>
    <row r="19" spans="2:3" ht="18.75" thickBot="1" x14ac:dyDescent="0.3">
      <c r="B19" s="19">
        <v>15</v>
      </c>
      <c r="C19" s="19">
        <v>808616</v>
      </c>
    </row>
    <row r="20" spans="2:3" ht="18.75" thickBot="1" x14ac:dyDescent="0.3">
      <c r="B20" s="19">
        <v>16</v>
      </c>
      <c r="C20" s="19">
        <v>818897</v>
      </c>
    </row>
    <row r="21" spans="2:3" ht="18.75" thickBot="1" x14ac:dyDescent="0.3">
      <c r="B21" s="19">
        <v>17</v>
      </c>
      <c r="C21" s="19">
        <v>829692</v>
      </c>
    </row>
    <row r="22" spans="2:3" ht="18.75" thickBot="1" x14ac:dyDescent="0.3">
      <c r="B22" s="19">
        <v>18</v>
      </c>
      <c r="C22" s="19">
        <v>841027</v>
      </c>
    </row>
    <row r="23" spans="2:3" ht="18.75" thickBot="1" x14ac:dyDescent="0.3">
      <c r="B23" s="19">
        <v>19</v>
      </c>
      <c r="C23" s="19">
        <v>853496</v>
      </c>
    </row>
    <row r="24" spans="2:3" ht="18.75" thickBot="1" x14ac:dyDescent="0.3">
      <c r="B24" s="19">
        <v>20</v>
      </c>
      <c r="C24" s="19">
        <v>864686</v>
      </c>
    </row>
    <row r="25" spans="2:3" ht="18.75" thickBot="1" x14ac:dyDescent="0.3">
      <c r="B25" s="19">
        <v>21</v>
      </c>
      <c r="C25" s="19">
        <v>874562</v>
      </c>
    </row>
    <row r="26" spans="2:3" ht="18.75" thickBot="1" x14ac:dyDescent="0.3">
      <c r="B26" s="19">
        <v>22</v>
      </c>
      <c r="C26" s="19">
        <v>882352</v>
      </c>
    </row>
    <row r="27" spans="2:3" ht="18.75" thickBot="1" x14ac:dyDescent="0.3">
      <c r="B27" s="19">
        <v>23</v>
      </c>
      <c r="C27" s="19">
        <v>889031</v>
      </c>
    </row>
    <row r="28" spans="2:3" ht="18.75" thickBot="1" x14ac:dyDescent="0.3">
      <c r="B28" s="19">
        <v>24</v>
      </c>
      <c r="C28" s="19">
        <v>894697</v>
      </c>
    </row>
    <row r="29" spans="2:3" ht="18.75" thickBot="1" x14ac:dyDescent="0.3">
      <c r="B29" s="19">
        <v>25</v>
      </c>
      <c r="C29" s="19">
        <v>899490</v>
      </c>
    </row>
    <row r="30" spans="2:3" ht="18.75" thickBot="1" x14ac:dyDescent="0.3">
      <c r="B30" s="19">
        <v>26</v>
      </c>
      <c r="C30" s="19">
        <v>902421</v>
      </c>
    </row>
    <row r="31" spans="2:3" ht="18.75" thickBot="1" x14ac:dyDescent="0.3">
      <c r="B31" s="19">
        <v>27</v>
      </c>
      <c r="C31" s="19">
        <v>904900</v>
      </c>
    </row>
    <row r="32" spans="2:3" ht="18.75" thickBot="1" x14ac:dyDescent="0.3">
      <c r="B32" s="19">
        <v>28</v>
      </c>
      <c r="C32" s="19">
        <v>907403</v>
      </c>
    </row>
    <row r="33" spans="2:3" ht="18.75" thickBot="1" x14ac:dyDescent="0.3">
      <c r="B33" s="19">
        <v>29</v>
      </c>
      <c r="C33" s="19">
        <v>910430</v>
      </c>
    </row>
    <row r="34" spans="2:3" ht="18.75" thickBot="1" x14ac:dyDescent="0.3">
      <c r="B34" s="19">
        <v>30</v>
      </c>
      <c r="C34" s="19">
        <v>913032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45</vt:i4>
      </vt:variant>
    </vt:vector>
  </HeadingPairs>
  <TitlesOfParts>
    <vt:vector size="51" baseType="lpstr">
      <vt:lpstr>اطلاعات پایه</vt:lpstr>
      <vt:lpstr>محاسبات</vt:lpstr>
      <vt:lpstr>اطلاعات قانونی </vt:lpstr>
      <vt:lpstr>فیش حقوقی</vt:lpstr>
      <vt:lpstr>مالیات حقوق</vt:lpstr>
      <vt:lpstr>پایه سنوات</vt:lpstr>
      <vt:lpstr>'اطلاعات قانونی '!اضافه_کار</vt:lpstr>
      <vt:lpstr>اضافه_کار</vt:lpstr>
      <vt:lpstr>اطلاعات_قانونی</vt:lpstr>
      <vt:lpstr>بازخرید_مرخصی</vt:lpstr>
      <vt:lpstr>بن_خوار_و_بار</vt:lpstr>
      <vt:lpstr>بیمه_تامین_اجتماعی</vt:lpstr>
      <vt:lpstr>پایه_سنوات</vt:lpstr>
      <vt:lpstr>تعداد_فرزند</vt:lpstr>
      <vt:lpstr>تعطیل_کاری</vt:lpstr>
      <vt:lpstr>'اطلاعات قانونی '!جمعه_کاری</vt:lpstr>
      <vt:lpstr>جمعه_کاری</vt:lpstr>
      <vt:lpstr>حداقل_عیدی</vt:lpstr>
      <vt:lpstr>حداقل_عیدی_ماهانه</vt:lpstr>
      <vt:lpstr>حداکثر_عیدی</vt:lpstr>
      <vt:lpstr>حداکثر_عیدی_ماهانه</vt:lpstr>
      <vt:lpstr>حق_اولاد___یک_فرزند</vt:lpstr>
      <vt:lpstr>حق_تاهل</vt:lpstr>
      <vt:lpstr>حق_مسکن</vt:lpstr>
      <vt:lpstr>حقوق__30_روز</vt:lpstr>
      <vt:lpstr>ذخیره_مرخصی</vt:lpstr>
      <vt:lpstr>روز_کارکرد</vt:lpstr>
      <vt:lpstr>روز_ماه</vt:lpstr>
      <vt:lpstr>ساعت_موظفی</vt:lpstr>
      <vt:lpstr>سختی_کار</vt:lpstr>
      <vt:lpstr>سمت</vt:lpstr>
      <vt:lpstr>سنوات___مزایای_پایان_خدمت</vt:lpstr>
      <vt:lpstr>شب_کاری</vt:lpstr>
      <vt:lpstr>شماره_بیمه</vt:lpstr>
      <vt:lpstr>شیفت_کاری</vt:lpstr>
      <vt:lpstr>کد_پرسنلی</vt:lpstr>
      <vt:lpstr>کد_ملی</vt:lpstr>
      <vt:lpstr>'اطلاعات قانونی '!ماموریت</vt:lpstr>
      <vt:lpstr>ماموریت</vt:lpstr>
      <vt:lpstr>مانده_مرخصی</vt:lpstr>
      <vt:lpstr>محل_تولد</vt:lpstr>
      <vt:lpstr>مرخصی_استحقاقی</vt:lpstr>
      <vt:lpstr>مرخصی_استعلاجی</vt:lpstr>
      <vt:lpstr>مرکز_هزینه</vt:lpstr>
      <vt:lpstr>مزد_ثابت___مزد_مبنا</vt:lpstr>
      <vt:lpstr>'اطلاعات قانونی '!مزد_روزانه</vt:lpstr>
      <vt:lpstr>مزد_روزانه</vt:lpstr>
      <vt:lpstr>نام_پدر</vt:lpstr>
      <vt:lpstr>نام_ونام_خانوادگی</vt:lpstr>
      <vt:lpstr>نوبت_کاری</vt:lpstr>
      <vt:lpstr>وضعیت_تاهل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2025-04-07T09:10:18Z</dcterms:modified>
</cp:coreProperties>
</file>